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95" yWindow="165" windowWidth="18930" windowHeight="10545" tabRatio="599" activeTab="4"/>
  </bookViews>
  <sheets>
    <sheet name="Расчет ФФП" sheetId="1" r:id="rId1"/>
    <sheet name="Расчет К удорожания" sheetId="2" r:id="rId2"/>
    <sheet name="Расчет удельного веса расходов" sheetId="5" r:id="rId3"/>
    <sheet name="Расчет ИБР" sheetId="4" r:id="rId4"/>
    <sheet name="Расчет НП" sheetId="3" r:id="rId5"/>
    <sheet name="Расчет БО" sheetId="6" r:id="rId6"/>
    <sheet name="Расчет Тн" sheetId="7" r:id="rId7"/>
    <sheet name="ДОТАЦИЯ" sheetId="8" r:id="rId8"/>
  </sheets>
  <definedNames>
    <definedName name="_xlnm.Print_Area" localSheetId="5">'Расчет БО'!$A$1:$G$20</definedName>
    <definedName name="_xlnm.Print_Area" localSheetId="4">'Расчет НП'!$A$1:$Z$12</definedName>
    <definedName name="_xlnm.Print_Area" localSheetId="2">'Расчет удельного веса расходов'!$A$1:$R$20</definedName>
    <definedName name="_xlnm.Print_Area" localSheetId="0">'Расчет ФФП'!$A$1:$I$25</definedName>
  </definedNames>
  <calcPr calcId="124519"/>
</workbook>
</file>

<file path=xl/calcChain.xml><?xml version="1.0" encoding="utf-8"?>
<calcChain xmlns="http://schemas.openxmlformats.org/spreadsheetml/2006/main">
  <c r="O4" i="8"/>
  <c r="K4"/>
  <c r="K11" s="1"/>
  <c r="K18"/>
  <c r="K19"/>
  <c r="K20"/>
  <c r="K21"/>
  <c r="K22"/>
  <c r="K24" s="1"/>
  <c r="K23"/>
  <c r="K17"/>
  <c r="J24"/>
  <c r="I24"/>
  <c r="G24"/>
  <c r="F24"/>
  <c r="D24"/>
  <c r="C24"/>
  <c r="H23"/>
  <c r="E23"/>
  <c r="H22"/>
  <c r="E22"/>
  <c r="H21"/>
  <c r="E21"/>
  <c r="H20"/>
  <c r="E20"/>
  <c r="H19"/>
  <c r="E19"/>
  <c r="H18"/>
  <c r="E18"/>
  <c r="H17"/>
  <c r="E17"/>
  <c r="I4"/>
  <c r="E24" l="1"/>
  <c r="H24"/>
  <c r="Q11" l="1"/>
  <c r="F3" i="4"/>
  <c r="I3"/>
  <c r="E4" i="6"/>
  <c r="T5" i="3"/>
  <c r="R5"/>
  <c r="N5"/>
  <c r="X5"/>
  <c r="X12"/>
  <c r="V12"/>
  <c r="I5"/>
  <c r="J5" s="1"/>
  <c r="Z5"/>
  <c r="I11"/>
  <c r="J11" s="1"/>
  <c r="Z11"/>
  <c r="F20" i="5" l="1"/>
  <c r="C20"/>
  <c r="D20"/>
  <c r="E20"/>
  <c r="D3"/>
  <c r="F3"/>
  <c r="H3"/>
  <c r="I3"/>
  <c r="D4"/>
  <c r="F4"/>
  <c r="H4"/>
  <c r="I4"/>
  <c r="D5"/>
  <c r="F5"/>
  <c r="H5"/>
  <c r="I5"/>
  <c r="D6"/>
  <c r="F6"/>
  <c r="H6"/>
  <c r="I6"/>
  <c r="D7"/>
  <c r="F7"/>
  <c r="H7"/>
  <c r="I7"/>
  <c r="D8"/>
  <c r="F8"/>
  <c r="H8"/>
  <c r="I8"/>
  <c r="D9"/>
  <c r="F9"/>
  <c r="H9"/>
  <c r="I9"/>
  <c r="E3" l="1"/>
  <c r="C3"/>
  <c r="G3"/>
  <c r="J3" l="1"/>
  <c r="C8"/>
  <c r="C6"/>
  <c r="J6" s="1"/>
  <c r="C5"/>
  <c r="C9"/>
  <c r="C7"/>
  <c r="C4"/>
  <c r="E6"/>
  <c r="E9"/>
  <c r="E5"/>
  <c r="E4"/>
  <c r="E7"/>
  <c r="E8"/>
  <c r="G9"/>
  <c r="G6"/>
  <c r="G4"/>
  <c r="G8"/>
  <c r="G7"/>
  <c r="G5"/>
  <c r="J8" l="1"/>
  <c r="J4"/>
  <c r="J5"/>
  <c r="J9"/>
  <c r="J7"/>
  <c r="K12" i="3" l="1"/>
  <c r="O12" l="1"/>
  <c r="C12"/>
  <c r="Z10" l="1"/>
  <c r="I10"/>
  <c r="J10" s="1"/>
  <c r="Z9"/>
  <c r="I9"/>
  <c r="J9" s="1"/>
  <c r="Z8"/>
  <c r="I8"/>
  <c r="J8" s="1"/>
  <c r="Z7"/>
  <c r="J7"/>
  <c r="I7"/>
  <c r="Z6"/>
  <c r="I6"/>
  <c r="J6" s="1"/>
  <c r="Z5" i="2" l="1"/>
  <c r="Z10" l="1"/>
  <c r="Z11"/>
  <c r="L12" l="1"/>
  <c r="R5"/>
  <c r="G11" i="8" l="1"/>
  <c r="C4" l="1"/>
  <c r="F11" l="1"/>
  <c r="F5" i="2"/>
  <c r="U12" i="3" l="1"/>
  <c r="P12"/>
  <c r="L12"/>
  <c r="D12"/>
  <c r="W11" l="1"/>
  <c r="W5"/>
  <c r="Q11"/>
  <c r="R11" s="1"/>
  <c r="Q5"/>
  <c r="M11"/>
  <c r="N11" s="1"/>
  <c r="M5"/>
  <c r="E11"/>
  <c r="F11" s="1"/>
  <c r="T11" s="1"/>
  <c r="E5"/>
  <c r="F5" s="1"/>
  <c r="Q9"/>
  <c r="R9" s="1"/>
  <c r="Q6"/>
  <c r="R6" s="1"/>
  <c r="Q10"/>
  <c r="R10" s="1"/>
  <c r="Q7"/>
  <c r="R7" s="1"/>
  <c r="Q8"/>
  <c r="R8" s="1"/>
  <c r="W10"/>
  <c r="W7"/>
  <c r="W8"/>
  <c r="W9"/>
  <c r="W6"/>
  <c r="M10"/>
  <c r="N10" s="1"/>
  <c r="M7"/>
  <c r="N7" s="1"/>
  <c r="M8"/>
  <c r="N8" s="1"/>
  <c r="M9"/>
  <c r="N9" s="1"/>
  <c r="M6"/>
  <c r="N6" s="1"/>
  <c r="E9"/>
  <c r="F9" s="1"/>
  <c r="E6"/>
  <c r="F6" s="1"/>
  <c r="E10"/>
  <c r="F10" s="1"/>
  <c r="E7"/>
  <c r="F7" s="1"/>
  <c r="E8"/>
  <c r="F8" s="1"/>
  <c r="Z12"/>
  <c r="T8" l="1"/>
  <c r="T7"/>
  <c r="T9"/>
  <c r="T6"/>
  <c r="T10"/>
  <c r="T12" l="1"/>
  <c r="E3" i="7"/>
  <c r="V11" i="3" l="1"/>
  <c r="X11" s="1"/>
  <c r="V5"/>
  <c r="V8"/>
  <c r="X8" s="1"/>
  <c r="V9"/>
  <c r="X9" s="1"/>
  <c r="V6"/>
  <c r="X6" s="1"/>
  <c r="V10"/>
  <c r="X10" s="1"/>
  <c r="V7"/>
  <c r="X7" s="1"/>
  <c r="E6" i="7"/>
  <c r="E4"/>
  <c r="E8"/>
  <c r="E7"/>
  <c r="E5"/>
  <c r="E9"/>
  <c r="F11" i="2" l="1"/>
  <c r="F10"/>
  <c r="F9"/>
  <c r="F8"/>
  <c r="F7"/>
  <c r="F6"/>
  <c r="Q12" l="1"/>
  <c r="W12"/>
  <c r="Y5" s="1"/>
  <c r="V12"/>
  <c r="X5" s="1"/>
  <c r="P12"/>
  <c r="R7" l="1"/>
  <c r="R11"/>
  <c r="R6"/>
  <c r="R8"/>
  <c r="R9"/>
  <c r="R10"/>
  <c r="Y6"/>
  <c r="Y9"/>
  <c r="Y11"/>
  <c r="Y7"/>
  <c r="Y8"/>
  <c r="Y10"/>
  <c r="X7"/>
  <c r="X8"/>
  <c r="X10"/>
  <c r="X6"/>
  <c r="X9"/>
  <c r="X11"/>
  <c r="Z7" l="1"/>
  <c r="Z6"/>
  <c r="Z8"/>
  <c r="Z9"/>
  <c r="C3" i="7"/>
  <c r="I3" s="1"/>
  <c r="D4" i="8" s="1"/>
  <c r="C5" i="7" l="1"/>
  <c r="C7"/>
  <c r="C9"/>
  <c r="C4"/>
  <c r="C6"/>
  <c r="C8"/>
  <c r="C4" i="4" l="1"/>
  <c r="C5"/>
  <c r="C6"/>
  <c r="C7"/>
  <c r="C8"/>
  <c r="C9"/>
  <c r="C3"/>
  <c r="K12" i="2"/>
  <c r="G12"/>
  <c r="H5" l="1"/>
  <c r="I5"/>
  <c r="N6"/>
  <c r="N8"/>
  <c r="S8" s="1"/>
  <c r="U8" s="1"/>
  <c r="N10"/>
  <c r="N5"/>
  <c r="N7"/>
  <c r="S7" s="1"/>
  <c r="N9"/>
  <c r="S9" s="1"/>
  <c r="U9" s="1"/>
  <c r="N11"/>
  <c r="S11" s="1"/>
  <c r="U11" s="1"/>
  <c r="M6"/>
  <c r="M8"/>
  <c r="M9"/>
  <c r="M10"/>
  <c r="M5"/>
  <c r="M7"/>
  <c r="M11"/>
  <c r="D3" i="7"/>
  <c r="D5" s="1"/>
  <c r="E10" i="4"/>
  <c r="S5" i="2" l="1"/>
  <c r="O5"/>
  <c r="D7" i="7"/>
  <c r="D8"/>
  <c r="D4"/>
  <c r="S10" i="2"/>
  <c r="U10" s="1"/>
  <c r="D6" i="7"/>
  <c r="D9"/>
  <c r="J5" i="2"/>
  <c r="H6"/>
  <c r="G6" i="4"/>
  <c r="G3"/>
  <c r="S6" i="2"/>
  <c r="U6" s="1"/>
  <c r="O6"/>
  <c r="O11"/>
  <c r="O9"/>
  <c r="I6"/>
  <c r="I8"/>
  <c r="I9"/>
  <c r="I10"/>
  <c r="I7"/>
  <c r="I11"/>
  <c r="H7"/>
  <c r="H11"/>
  <c r="H8"/>
  <c r="H9"/>
  <c r="H10"/>
  <c r="O7"/>
  <c r="O10"/>
  <c r="O8"/>
  <c r="C9" i="8"/>
  <c r="C5"/>
  <c r="C10"/>
  <c r="C8"/>
  <c r="G9" i="4"/>
  <c r="C7" i="8"/>
  <c r="C6"/>
  <c r="G5" i="4"/>
  <c r="G8"/>
  <c r="G4"/>
  <c r="G7"/>
  <c r="T5" i="2" l="1"/>
  <c r="U5"/>
  <c r="T7"/>
  <c r="T6"/>
  <c r="J8"/>
  <c r="J10"/>
  <c r="J9"/>
  <c r="J6"/>
  <c r="J11"/>
  <c r="T9"/>
  <c r="T11"/>
  <c r="T10"/>
  <c r="J7"/>
  <c r="T8"/>
  <c r="C4" i="6" l="1"/>
  <c r="C7"/>
  <c r="C8"/>
  <c r="C5"/>
  <c r="C10"/>
  <c r="C9"/>
  <c r="C6"/>
  <c r="P11" i="8" l="1"/>
  <c r="O11"/>
  <c r="D5" i="4" l="1"/>
  <c r="D7"/>
  <c r="D3"/>
  <c r="D6" l="1"/>
  <c r="F6" s="1"/>
  <c r="D9"/>
  <c r="F9" s="1"/>
  <c r="D4"/>
  <c r="F4" s="1"/>
  <c r="D8"/>
  <c r="F8" s="1"/>
  <c r="F7"/>
  <c r="F5"/>
  <c r="F10" l="1"/>
  <c r="H6" l="1"/>
  <c r="I6" s="1"/>
  <c r="G6" i="7" s="1"/>
  <c r="H4" i="4"/>
  <c r="I4" s="1"/>
  <c r="G4" i="7" s="1"/>
  <c r="H7" i="4"/>
  <c r="I7" s="1"/>
  <c r="G7" i="7" s="1"/>
  <c r="H3" i="4"/>
  <c r="H8"/>
  <c r="I8" s="1"/>
  <c r="G8" i="7" s="1"/>
  <c r="H5" i="4"/>
  <c r="I5" s="1"/>
  <c r="G5" i="7" s="1"/>
  <c r="H9" i="4"/>
  <c r="I9" s="1"/>
  <c r="G9" i="7" s="1"/>
  <c r="D7" i="6" l="1"/>
  <c r="E7" s="1"/>
  <c r="F6" i="7" s="1"/>
  <c r="I6" s="1"/>
  <c r="G3"/>
  <c r="D4" i="6"/>
  <c r="D10"/>
  <c r="D5"/>
  <c r="E5" s="1"/>
  <c r="F4" i="7" s="1"/>
  <c r="I4" s="1"/>
  <c r="D8" i="6"/>
  <c r="E8" s="1"/>
  <c r="F7" i="7" s="1"/>
  <c r="I7" s="1"/>
  <c r="D8" i="8" s="1"/>
  <c r="D9" i="6"/>
  <c r="E9" s="1"/>
  <c r="D6"/>
  <c r="E6" s="1"/>
  <c r="F5" i="7" s="1"/>
  <c r="I5" s="1"/>
  <c r="F9" l="1"/>
  <c r="I9" s="1"/>
  <c r="D10" i="8" s="1"/>
  <c r="E10" i="6"/>
  <c r="I10" i="8" s="1"/>
  <c r="F8" i="7"/>
  <c r="I8" i="8"/>
  <c r="I6"/>
  <c r="I9"/>
  <c r="F3" i="7"/>
  <c r="I7" i="8"/>
  <c r="I5"/>
  <c r="J4" l="1"/>
  <c r="F10" i="6"/>
  <c r="F8"/>
  <c r="F6"/>
  <c r="F7"/>
  <c r="E11"/>
  <c r="F9"/>
  <c r="F4"/>
  <c r="F5"/>
  <c r="I8" i="7"/>
  <c r="D6" i="8"/>
  <c r="D5"/>
  <c r="D7"/>
  <c r="J5"/>
  <c r="J8"/>
  <c r="J7"/>
  <c r="J6"/>
  <c r="J10"/>
  <c r="J9"/>
  <c r="D11" l="1"/>
  <c r="E7" l="1"/>
  <c r="H7" s="1"/>
  <c r="E4"/>
  <c r="H4" s="1"/>
  <c r="E5"/>
  <c r="E10"/>
  <c r="E6"/>
  <c r="E9"/>
  <c r="H9" s="1"/>
  <c r="E8"/>
  <c r="Y11" i="3" l="1"/>
  <c r="L10" i="8" s="1"/>
  <c r="M10" s="1"/>
  <c r="H10"/>
  <c r="Y8" i="3"/>
  <c r="L7" i="8" s="1"/>
  <c r="M7" s="1"/>
  <c r="Y5" i="3"/>
  <c r="L4" i="8" s="1"/>
  <c r="M4" s="1"/>
  <c r="H8"/>
  <c r="H5"/>
  <c r="H6"/>
  <c r="Y6" i="3" l="1"/>
  <c r="L5" i="8" s="1"/>
  <c r="Y10" i="3"/>
  <c r="L9" i="8" s="1"/>
  <c r="Y9" i="3"/>
  <c r="L8" i="8" s="1"/>
  <c r="Y7" i="3"/>
  <c r="L6" i="8" s="1"/>
  <c r="H11"/>
  <c r="M6" l="1"/>
  <c r="M9"/>
  <c r="M5"/>
  <c r="Y12" i="3"/>
  <c r="M8" i="8"/>
  <c r="N8" l="1"/>
  <c r="N4"/>
  <c r="N5"/>
  <c r="N10"/>
  <c r="N6"/>
  <c r="N9"/>
  <c r="N7"/>
</calcChain>
</file>

<file path=xl/sharedStrings.xml><?xml version="1.0" encoding="utf-8"?>
<sst xmlns="http://schemas.openxmlformats.org/spreadsheetml/2006/main" count="216" uniqueCount="112">
  <si>
    <t>Объем ФФП в текущем году</t>
  </si>
  <si>
    <t>Индекс потребительских цен в Республике Алтай</t>
  </si>
  <si>
    <t>Прогноз налоговых доходов бюджетов поселений</t>
  </si>
  <si>
    <t>Уровень бюджетной обеспеченности, установленный в качестве критерия</t>
  </si>
  <si>
    <t>№ п/п</t>
  </si>
  <si>
    <t>Сельское поселение</t>
  </si>
  <si>
    <t>Расстояние от административного центра до поселения</t>
  </si>
  <si>
    <t>Стоимость фиксированного набора товаров и услуг</t>
  </si>
  <si>
    <t>К цен</t>
  </si>
  <si>
    <t>численность населения</t>
  </si>
  <si>
    <t>Удельный вес численности постоянного населения в поселении, имеющего максимальную численность в общей численности населения</t>
  </si>
  <si>
    <t>К масштаба</t>
  </si>
  <si>
    <t>площадь жилого фонда</t>
  </si>
  <si>
    <t>общая площадь жилого фонда</t>
  </si>
  <si>
    <t>Общая численность населения</t>
  </si>
  <si>
    <t>К дифференциации расходов</t>
  </si>
  <si>
    <t>площадь территории</t>
  </si>
  <si>
    <t>общая площадь территории</t>
  </si>
  <si>
    <t>К плотности населения</t>
  </si>
  <si>
    <t>Количество сел с численностью постоянного населения не более 500 человек в поселении</t>
  </si>
  <si>
    <t>Количество сел в поселении</t>
  </si>
  <si>
    <t>Всего количество сел с численностью не более 500 человек</t>
  </si>
  <si>
    <t>Общее количество сел в районе</t>
  </si>
  <si>
    <t>К дисперсности расселения</t>
  </si>
  <si>
    <t>К диссперсности расселения</t>
  </si>
  <si>
    <t>К структуры потребителей мун услуг</t>
  </si>
  <si>
    <t>ИБР</t>
  </si>
  <si>
    <t>Итого расходы</t>
  </si>
  <si>
    <t>Прочие</t>
  </si>
  <si>
    <t>К жф</t>
  </si>
  <si>
    <t>К цен*К структуры потребителей* численность населения поселения</t>
  </si>
  <si>
    <t>сумма</t>
  </si>
  <si>
    <t>Прогноз поступления доходов по НДФЛ</t>
  </si>
  <si>
    <t>Общая база налогообложения по району</t>
  </si>
  <si>
    <t>НП по НДФЛ</t>
  </si>
  <si>
    <t>Прогноз поступления доходов по ЕСХН</t>
  </si>
  <si>
    <t>НП по ЕСХН</t>
  </si>
  <si>
    <t>НП по налогу на имущ</t>
  </si>
  <si>
    <t>Прогноз поступления доходов по земельн</t>
  </si>
  <si>
    <t>НП по земельн</t>
  </si>
  <si>
    <t>НП по госпошлине</t>
  </si>
  <si>
    <t>НП поселения</t>
  </si>
  <si>
    <t>Численность населения</t>
  </si>
  <si>
    <t>Общий НП</t>
  </si>
  <si>
    <t>ИНП</t>
  </si>
  <si>
    <t>БО</t>
  </si>
  <si>
    <t>ПНД</t>
  </si>
  <si>
    <t>БО кр</t>
  </si>
  <si>
    <t>БО поселения</t>
  </si>
  <si>
    <t>ИБР поселения</t>
  </si>
  <si>
    <t>Численность населения поселения</t>
  </si>
  <si>
    <t xml:space="preserve"> Тн (Объем средств необходимый для доведения уровня БО до уровня установленного в качестве критерия)</t>
  </si>
  <si>
    <t>Объем РФФП</t>
  </si>
  <si>
    <t>сумм Тн</t>
  </si>
  <si>
    <t>Расчет фонда финансовой поддержки поселений</t>
  </si>
  <si>
    <t>Расчет индекса бюджетных расходов</t>
  </si>
  <si>
    <t>Расчет бюджетной обеспеченности</t>
  </si>
  <si>
    <t>Дотация расчетная</t>
  </si>
  <si>
    <t>Рейтинг</t>
  </si>
  <si>
    <t>Содержание ОМСУ</t>
  </si>
  <si>
    <t>ИНП с учетом дотации</t>
  </si>
  <si>
    <t>СП Анос</t>
  </si>
  <si>
    <t>СП Бешпельтир</t>
  </si>
  <si>
    <t>СП Куюс</t>
  </si>
  <si>
    <t>СП Узнезя</t>
  </si>
  <si>
    <t>СП Чемал</t>
  </si>
  <si>
    <t>СП Чепош</t>
  </si>
  <si>
    <t>СП Эликманар</t>
  </si>
  <si>
    <t>ранг</t>
  </si>
  <si>
    <t xml:space="preserve">К плотности населения расчетный </t>
  </si>
  <si>
    <t>К плотности населения с корректировкой</t>
  </si>
  <si>
    <t>База налогообложения (денежное выражение доходов, уменьшенных на величину расходов)</t>
  </si>
  <si>
    <t>Прогноз поступления доходов по налогу на имущ</t>
  </si>
  <si>
    <t>Расчет коэффициентов удорожания</t>
  </si>
  <si>
    <t>Расчет индекса налогового потенциала</t>
  </si>
  <si>
    <t>Расчет объема средств необходимого для доведения уровня БО до уровня установленного в качестве критерия</t>
  </si>
  <si>
    <t>Общий объем районного фонда финансовой поддержки на 2017 год</t>
  </si>
  <si>
    <t>а1 (содержан.ОМСУ)</t>
  </si>
  <si>
    <t>а2 (благ-во)</t>
  </si>
  <si>
    <t>а3 (прочие расходы)</t>
  </si>
  <si>
    <t>Итого:</t>
  </si>
  <si>
    <t xml:space="preserve">Прогноз поступления доходов </t>
  </si>
  <si>
    <t>Благоустройство (0503)</t>
  </si>
  <si>
    <t>М/Б</t>
  </si>
  <si>
    <t>числен-ность насе-ления</t>
  </si>
  <si>
    <t>Средняя числен-ность насе-ления</t>
  </si>
  <si>
    <t>Итого</t>
  </si>
  <si>
    <t>2025г.</t>
  </si>
  <si>
    <t>Sн</t>
  </si>
  <si>
    <t>Установленная стоимость 1тн/км перевозки грузов</t>
  </si>
  <si>
    <t>не ниже 2023г.</t>
  </si>
  <si>
    <t xml:space="preserve">Расчет
 размера дотаций на выравнивание бюджетной обеспеченности бюджетам сельских поселений за счет средств местного бюджета на 2025-2027 годы </t>
  </si>
  <si>
    <t>Общий объем районного фонда финансовой поддержки на 2025 год</t>
  </si>
  <si>
    <t>план на 1 октября 2024г.</t>
  </si>
  <si>
    <t>База налогообложения (фонд начисленной заработной платы) за 2023 г. По отчету ФНС</t>
  </si>
  <si>
    <t>База налогообложения (Кадастровая  стоимость строений, помещений и сооружений, находящихся в собственности физических лиц, по которым налог предъявлен к уплате в бюджет за 2023 год, тыс. руб. (отчет 5 - МН))</t>
  </si>
  <si>
    <t>База налогообложения (Кадастровая  стоимость земельных участков, находящихся в собственности юридических лиц и физических лиц, по которым налог предъявлен к уплате в бюджет за 2023 год, тыс. руб. (отчет 5 - МН))</t>
  </si>
  <si>
    <t xml:space="preserve">Размер дотаций на выравнивание бюджетной обеспеченности бюджетам сельских поселений МО "Чемальский район" на 2025-2027 годы </t>
  </si>
  <si>
    <t>наименование</t>
  </si>
  <si>
    <t>Р/Б</t>
  </si>
  <si>
    <t>Расчет дотации на 2025-2027 годы</t>
  </si>
  <si>
    <t>2025 год</t>
  </si>
  <si>
    <t>2027 год</t>
  </si>
  <si>
    <t>2026 год</t>
  </si>
  <si>
    <t>Изменение объема расходов бюджета n-го поселения в очередном финансовом году по сравнению с текущим финансовым годом (ИРО)</t>
  </si>
  <si>
    <t>тыс.руб.</t>
  </si>
  <si>
    <t>2026г. (80%)</t>
  </si>
  <si>
    <t>2027г. (80%)</t>
  </si>
  <si>
    <t xml:space="preserve">Дотация с учетом коррек-тировки </t>
  </si>
  <si>
    <t>БО после вырав-нивания</t>
  </si>
  <si>
    <t>БО до вырав-нивания</t>
  </si>
  <si>
    <t>Расчет удельного веса расходов</t>
  </si>
</sst>
</file>

<file path=xl/styles.xml><?xml version="1.0" encoding="utf-8"?>
<styleSheet xmlns="http://schemas.openxmlformats.org/spreadsheetml/2006/main">
  <numFmts count="9">
    <numFmt numFmtId="164" formatCode="#,##0.000"/>
    <numFmt numFmtId="165" formatCode="0.000%"/>
    <numFmt numFmtId="166" formatCode="0.000"/>
    <numFmt numFmtId="167" formatCode="0.0000"/>
    <numFmt numFmtId="168" formatCode="0.0"/>
    <numFmt numFmtId="169" formatCode="0.00000"/>
    <numFmt numFmtId="170" formatCode="#,##0_р_."/>
    <numFmt numFmtId="171" formatCode="#,##0.0000"/>
    <numFmt numFmtId="172" formatCode="#,##0.0"/>
  </numFmts>
  <fonts count="13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2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166" fontId="0" fillId="0" borderId="1" xfId="0" applyNumberFormat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166" fontId="0" fillId="0" borderId="1" xfId="0" applyNumberForma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/>
    </xf>
    <xf numFmtId="166" fontId="0" fillId="0" borderId="0" xfId="0" applyNumberForma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/>
    <xf numFmtId="167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0" fillId="0" borderId="0" xfId="0" applyFill="1"/>
    <xf numFmtId="165" fontId="0" fillId="0" borderId="1" xfId="0" applyNumberForma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4" fontId="0" fillId="0" borderId="1" xfId="0" applyNumberFormat="1" applyFill="1" applyBorder="1" applyAlignment="1">
      <alignment wrapText="1"/>
    </xf>
    <xf numFmtId="16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 applyFill="1" applyBorder="1"/>
    <xf numFmtId="169" fontId="0" fillId="0" borderId="1" xfId="0" applyNumberFormat="1" applyFill="1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1" xfId="0" applyFill="1" applyBorder="1"/>
    <xf numFmtId="0" fontId="2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68" fontId="0" fillId="0" borderId="1" xfId="0" applyNumberForma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166" fontId="4" fillId="0" borderId="1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167" fontId="0" fillId="0" borderId="1" xfId="0" applyNumberFormat="1" applyFill="1" applyBorder="1"/>
    <xf numFmtId="167" fontId="0" fillId="0" borderId="1" xfId="0" applyNumberFormat="1" applyFill="1" applyBorder="1" applyAlignment="1">
      <alignment wrapText="1"/>
    </xf>
    <xf numFmtId="166" fontId="0" fillId="0" borderId="1" xfId="0" applyNumberFormat="1" applyFill="1" applyBorder="1"/>
    <xf numFmtId="0" fontId="4" fillId="0" borderId="0" xfId="0" applyFont="1" applyFill="1" applyBorder="1"/>
    <xf numFmtId="2" fontId="0" fillId="0" borderId="1" xfId="0" applyNumberFormat="1" applyBorder="1" applyAlignment="1">
      <alignment wrapText="1"/>
    </xf>
    <xf numFmtId="167" fontId="0" fillId="0" borderId="0" xfId="0" applyNumberFormat="1"/>
    <xf numFmtId="1" fontId="0" fillId="0" borderId="1" xfId="0" applyNumberFormat="1" applyBorder="1"/>
    <xf numFmtId="167" fontId="4" fillId="0" borderId="1" xfId="0" applyNumberFormat="1" applyFont="1" applyFill="1" applyBorder="1"/>
    <xf numFmtId="0" fontId="5" fillId="0" borderId="0" xfId="0" applyFont="1" applyFill="1"/>
    <xf numFmtId="166" fontId="0" fillId="0" borderId="0" xfId="0" applyNumberForma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164" fontId="1" fillId="0" borderId="0" xfId="0" applyNumberFormat="1" applyFont="1" applyFill="1" applyBorder="1" applyAlignment="1">
      <alignment wrapText="1"/>
    </xf>
    <xf numFmtId="4" fontId="0" fillId="0" borderId="0" xfId="0" applyNumberFormat="1" applyFill="1" applyBorder="1" applyAlignment="1">
      <alignment wrapText="1"/>
    </xf>
    <xf numFmtId="2" fontId="0" fillId="0" borderId="0" xfId="0" applyNumberFormat="1" applyFill="1"/>
    <xf numFmtId="0" fontId="2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wrapText="1"/>
    </xf>
    <xf numFmtId="166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/>
    <xf numFmtId="0" fontId="0" fillId="2" borderId="1" xfId="0" applyFill="1" applyBorder="1" applyAlignment="1">
      <alignment horizontal="center" wrapText="1"/>
    </xf>
    <xf numFmtId="4" fontId="0" fillId="2" borderId="1" xfId="0" applyNumberFormat="1" applyFill="1" applyBorder="1" applyAlignment="1">
      <alignment wrapText="1"/>
    </xf>
    <xf numFmtId="0" fontId="0" fillId="2" borderId="1" xfId="0" applyFill="1" applyBorder="1"/>
    <xf numFmtId="168" fontId="0" fillId="2" borderId="1" xfId="0" applyNumberFormat="1" applyFill="1" applyBorder="1" applyAlignment="1">
      <alignment wrapText="1"/>
    </xf>
    <xf numFmtId="2" fontId="4" fillId="0" borderId="1" xfId="0" applyNumberFormat="1" applyFont="1" applyFill="1" applyBorder="1" applyAlignment="1">
      <alignment wrapText="1"/>
    </xf>
    <xf numFmtId="0" fontId="6" fillId="2" borderId="1" xfId="0" applyFont="1" applyFill="1" applyBorder="1"/>
    <xf numFmtId="168" fontId="0" fillId="0" borderId="0" xfId="0" applyNumberFormat="1" applyFill="1"/>
    <xf numFmtId="0" fontId="7" fillId="0" borderId="0" xfId="0" applyFont="1"/>
    <xf numFmtId="1" fontId="3" fillId="2" borderId="1" xfId="0" applyNumberFormat="1" applyFont="1" applyFill="1" applyBorder="1" applyAlignment="1">
      <alignment horizontal="left" vertical="center" wrapText="1"/>
    </xf>
    <xf numFmtId="167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wrapText="1"/>
    </xf>
    <xf numFmtId="168" fontId="0" fillId="2" borderId="1" xfId="0" applyNumberFormat="1" applyFill="1" applyBorder="1"/>
    <xf numFmtId="167" fontId="0" fillId="2" borderId="1" xfId="0" applyNumberFormat="1" applyFill="1" applyBorder="1"/>
    <xf numFmtId="166" fontId="0" fillId="2" borderId="1" xfId="0" applyNumberFormat="1" applyFill="1" applyBorder="1"/>
    <xf numFmtId="167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168" fontId="4" fillId="2" borderId="1" xfId="0" applyNumberFormat="1" applyFont="1" applyFill="1" applyBorder="1" applyAlignment="1">
      <alignment wrapText="1"/>
    </xf>
    <xf numFmtId="2" fontId="8" fillId="0" borderId="1" xfId="0" applyNumberFormat="1" applyFont="1" applyFill="1" applyBorder="1" applyAlignment="1">
      <alignment horizontal="right" vertical="center"/>
    </xf>
    <xf numFmtId="2" fontId="9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171" fontId="0" fillId="0" borderId="0" xfId="0" applyNumberFormat="1" applyFill="1" applyBorder="1" applyAlignment="1">
      <alignment wrapText="1"/>
    </xf>
    <xf numFmtId="166" fontId="0" fillId="0" borderId="0" xfId="0" applyNumberFormat="1" applyFill="1" applyBorder="1"/>
    <xf numFmtId="166" fontId="0" fillId="2" borderId="1" xfId="0" applyNumberFormat="1" applyFill="1" applyBorder="1" applyAlignment="1">
      <alignment wrapText="1"/>
    </xf>
    <xf numFmtId="166" fontId="0" fillId="0" borderId="0" xfId="0" applyNumberFormat="1"/>
    <xf numFmtId="168" fontId="0" fillId="0" borderId="1" xfId="0" applyNumberFormat="1" applyBorder="1"/>
    <xf numFmtId="2" fontId="0" fillId="2" borderId="1" xfId="0" applyNumberFormat="1" applyFill="1" applyBorder="1" applyAlignment="1">
      <alignment wrapText="1"/>
    </xf>
    <xf numFmtId="168" fontId="4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70" fontId="9" fillId="0" borderId="5" xfId="0" applyNumberFormat="1" applyFont="1" applyFill="1" applyBorder="1" applyAlignment="1">
      <alignment horizontal="right" vertical="center"/>
    </xf>
    <xf numFmtId="172" fontId="4" fillId="2" borderId="1" xfId="0" applyNumberFormat="1" applyFont="1" applyFill="1" applyBorder="1"/>
    <xf numFmtId="172" fontId="0" fillId="0" borderId="1" xfId="0" applyNumberFormat="1" applyFill="1" applyBorder="1" applyAlignment="1">
      <alignment wrapText="1"/>
    </xf>
    <xf numFmtId="172" fontId="4" fillId="0" borderId="1" xfId="0" applyNumberFormat="1" applyFont="1" applyFill="1" applyBorder="1" applyAlignment="1">
      <alignment wrapText="1"/>
    </xf>
    <xf numFmtId="0" fontId="2" fillId="0" borderId="0" xfId="0" applyFont="1"/>
    <xf numFmtId="172" fontId="0" fillId="0" borderId="0" xfId="0" applyNumberFormat="1" applyFill="1"/>
    <xf numFmtId="0" fontId="12" fillId="0" borderId="1" xfId="0" applyFont="1" applyFill="1" applyBorder="1" applyAlignment="1">
      <alignment vertical="center" wrapText="1"/>
    </xf>
    <xf numFmtId="171" fontId="0" fillId="0" borderId="0" xfId="0" applyNumberFormat="1" applyFill="1"/>
    <xf numFmtId="2" fontId="0" fillId="0" borderId="0" xfId="0" applyNumberFormat="1" applyFill="1" applyAlignment="1">
      <alignment wrapText="1"/>
    </xf>
    <xf numFmtId="2" fontId="8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/>
    <xf numFmtId="168" fontId="4" fillId="2" borderId="1" xfId="0" applyNumberFormat="1" applyFont="1" applyFill="1" applyBorder="1"/>
    <xf numFmtId="0" fontId="4" fillId="0" borderId="2" xfId="0" applyFont="1" applyFill="1" applyBorder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0" fillId="0" borderId="2" xfId="0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topLeftCell="A6" zoomScaleSheetLayoutView="100" workbookViewId="0">
      <selection activeCell="F24" sqref="F24"/>
    </sheetView>
  </sheetViews>
  <sheetFormatPr defaultRowHeight="15"/>
  <cols>
    <col min="1" max="1" width="18.5703125" style="15" customWidth="1"/>
    <col min="2" max="2" width="17.140625" style="15" customWidth="1"/>
    <col min="3" max="3" width="20.7109375" style="15" customWidth="1"/>
    <col min="4" max="4" width="18" style="15" hidden="1" customWidth="1"/>
    <col min="5" max="5" width="15.7109375" style="15" customWidth="1"/>
    <col min="6" max="6" width="19.42578125" style="15" customWidth="1"/>
    <col min="7" max="7" width="20" style="15" customWidth="1"/>
    <col min="8" max="16384" width="9.140625" style="15"/>
  </cols>
  <sheetData>
    <row r="1" spans="1:4" hidden="1">
      <c r="A1" s="105" t="s">
        <v>54</v>
      </c>
      <c r="B1" s="105"/>
      <c r="C1" s="105"/>
      <c r="D1" s="47"/>
    </row>
    <row r="2" spans="1:4" hidden="1"/>
    <row r="3" spans="1:4" ht="75" hidden="1">
      <c r="A3" s="4" t="s">
        <v>0</v>
      </c>
      <c r="B3" s="4" t="s">
        <v>1</v>
      </c>
      <c r="C3" s="4" t="s">
        <v>76</v>
      </c>
      <c r="D3" s="49"/>
    </row>
    <row r="4" spans="1:4" hidden="1">
      <c r="A4" s="17">
        <v>7160.3</v>
      </c>
      <c r="B4" s="16">
        <v>0</v>
      </c>
      <c r="C4" s="17">
        <v>8318</v>
      </c>
      <c r="D4" s="50"/>
    </row>
    <row r="5" spans="1:4" hidden="1">
      <c r="A5" s="7"/>
      <c r="B5" s="7"/>
      <c r="C5" s="7"/>
      <c r="D5" s="7"/>
    </row>
    <row r="6" spans="1:4" ht="79.5" customHeight="1">
      <c r="A6" s="106" t="s">
        <v>91</v>
      </c>
      <c r="B6" s="106"/>
      <c r="C6" s="106"/>
      <c r="D6" s="48"/>
    </row>
    <row r="7" spans="1:4">
      <c r="A7" s="7"/>
      <c r="B7" s="7"/>
      <c r="C7" s="7"/>
      <c r="D7" s="7"/>
    </row>
    <row r="8" spans="1:4" ht="75.75" customHeight="1">
      <c r="A8" s="59" t="s">
        <v>2</v>
      </c>
      <c r="B8" s="4" t="s">
        <v>92</v>
      </c>
      <c r="C8" s="4" t="s">
        <v>3</v>
      </c>
      <c r="D8" s="49"/>
    </row>
    <row r="9" spans="1:4" ht="23.25" customHeight="1">
      <c r="A9" s="60">
        <v>45964.1</v>
      </c>
      <c r="B9" s="18">
        <v>23845.1</v>
      </c>
      <c r="C9" s="81">
        <v>1.756</v>
      </c>
      <c r="D9" s="66" t="s">
        <v>90</v>
      </c>
    </row>
    <row r="10" spans="1:4">
      <c r="A10" s="51"/>
      <c r="B10" s="79"/>
      <c r="C10" s="10"/>
      <c r="D10" s="10"/>
    </row>
    <row r="12" spans="1:4">
      <c r="B12" s="98"/>
    </row>
  </sheetData>
  <mergeCells count="2">
    <mergeCell ref="A1:C1"/>
    <mergeCell ref="A6:C6"/>
  </mergeCells>
  <pageMargins left="1.299212598425197" right="0.70866141732283472" top="0.74803149606299213" bottom="0.74803149606299213" header="0" footer="0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3"/>
  <sheetViews>
    <sheetView topLeftCell="A3" zoomScaleSheetLayoutView="100" workbookViewId="0">
      <pane xSplit="2" ySplit="2" topLeftCell="C5" activePane="bottomRight" state="frozen"/>
      <selection activeCell="A3" sqref="A3"/>
      <selection pane="topRight" activeCell="C3" sqref="C3"/>
      <selection pane="bottomLeft" activeCell="A5" sqref="A5"/>
      <selection pane="bottomRight" activeCell="B28" sqref="B28"/>
    </sheetView>
  </sheetViews>
  <sheetFormatPr defaultRowHeight="15"/>
  <cols>
    <col min="1" max="1" width="4.85546875" style="31" customWidth="1"/>
    <col min="2" max="2" width="19" style="31" customWidth="1"/>
    <col min="3" max="3" width="11.28515625" style="31" customWidth="1"/>
    <col min="4" max="4" width="8.5703125" style="31" customWidth="1"/>
    <col min="5" max="5" width="11.140625" style="31" customWidth="1"/>
    <col min="6" max="6" width="7.7109375" style="31" customWidth="1"/>
    <col min="7" max="7" width="9.28515625" style="31" customWidth="1"/>
    <col min="8" max="8" width="13.140625" style="31" customWidth="1"/>
    <col min="9" max="9" width="9" style="31" customWidth="1"/>
    <col min="10" max="10" width="10.28515625" style="31" customWidth="1"/>
    <col min="11" max="14" width="9.140625" style="31"/>
    <col min="15" max="15" width="9.140625" style="31" customWidth="1"/>
    <col min="16" max="19" width="9.140625" style="31"/>
    <col min="20" max="20" width="11.5703125" style="31" bestFit="1" customWidth="1"/>
    <col min="21" max="16384" width="9.140625" style="31"/>
  </cols>
  <sheetData>
    <row r="1" spans="1:28" hidden="1">
      <c r="A1" s="107" t="s">
        <v>73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spans="1:28" hidden="1"/>
    <row r="3" spans="1:28" ht="18.75">
      <c r="F3" s="45" t="s">
        <v>73</v>
      </c>
      <c r="H3" s="45"/>
    </row>
    <row r="4" spans="1:28" s="32" customFormat="1" ht="193.5" customHeight="1">
      <c r="A4" s="30" t="s">
        <v>4</v>
      </c>
      <c r="B4" s="30" t="s">
        <v>5</v>
      </c>
      <c r="C4" s="101" t="s">
        <v>6</v>
      </c>
      <c r="D4" s="101" t="s">
        <v>89</v>
      </c>
      <c r="E4" s="101" t="s">
        <v>7</v>
      </c>
      <c r="F4" s="101" t="s">
        <v>8</v>
      </c>
      <c r="G4" s="101" t="s">
        <v>84</v>
      </c>
      <c r="H4" s="30" t="s">
        <v>10</v>
      </c>
      <c r="I4" s="30" t="s">
        <v>85</v>
      </c>
      <c r="J4" s="30" t="s">
        <v>11</v>
      </c>
      <c r="K4" s="101" t="s">
        <v>12</v>
      </c>
      <c r="L4" s="101" t="s">
        <v>84</v>
      </c>
      <c r="M4" s="101" t="s">
        <v>13</v>
      </c>
      <c r="N4" s="101" t="s">
        <v>14</v>
      </c>
      <c r="O4" s="101" t="s">
        <v>15</v>
      </c>
      <c r="P4" s="101" t="s">
        <v>16</v>
      </c>
      <c r="Q4" s="101" t="s">
        <v>9</v>
      </c>
      <c r="R4" s="101" t="s">
        <v>17</v>
      </c>
      <c r="S4" s="101" t="s">
        <v>14</v>
      </c>
      <c r="T4" s="30" t="s">
        <v>69</v>
      </c>
      <c r="U4" s="30" t="s">
        <v>70</v>
      </c>
      <c r="V4" s="101" t="s">
        <v>19</v>
      </c>
      <c r="W4" s="101" t="s">
        <v>20</v>
      </c>
      <c r="X4" s="101" t="s">
        <v>21</v>
      </c>
      <c r="Y4" s="101" t="s">
        <v>22</v>
      </c>
      <c r="Z4" s="30" t="s">
        <v>23</v>
      </c>
    </row>
    <row r="5" spans="1:28">
      <c r="A5" s="33">
        <v>1</v>
      </c>
      <c r="B5" s="26" t="s">
        <v>61</v>
      </c>
      <c r="C5" s="58">
        <v>25</v>
      </c>
      <c r="D5" s="58">
        <v>100</v>
      </c>
      <c r="E5" s="103">
        <v>23518</v>
      </c>
      <c r="F5" s="56">
        <f>(C5*D5+E5)/E5</f>
        <v>1.1063015562547835</v>
      </c>
      <c r="G5" s="55">
        <v>767</v>
      </c>
      <c r="H5" s="56">
        <f>G9/G12</f>
        <v>0.45240125035521456</v>
      </c>
      <c r="I5" s="55">
        <f>G12/7</f>
        <v>1508.1428571428571</v>
      </c>
      <c r="J5" s="57">
        <f>(1-H5)+H5*I5/G5</f>
        <v>1.4371498764840478</v>
      </c>
      <c r="K5" s="58">
        <v>12.1</v>
      </c>
      <c r="L5" s="55">
        <v>767</v>
      </c>
      <c r="M5" s="55">
        <f>K12</f>
        <v>271.8</v>
      </c>
      <c r="N5" s="55">
        <f>G12</f>
        <v>10557</v>
      </c>
      <c r="O5" s="57">
        <f>(K5/L5)/(M5/N5)</f>
        <v>0.61274683336643143</v>
      </c>
      <c r="P5" s="102">
        <v>185</v>
      </c>
      <c r="Q5" s="55">
        <v>767</v>
      </c>
      <c r="R5" s="55">
        <f>P12</f>
        <v>3019</v>
      </c>
      <c r="S5" s="55">
        <f>N5</f>
        <v>10557</v>
      </c>
      <c r="T5" s="57">
        <f>(P5/Q5)/($R$5/$S$5)</f>
        <v>0.84343918330365741</v>
      </c>
      <c r="U5" s="73">
        <f>(P5/Q5)/(R5/S5)</f>
        <v>0.84343918330365741</v>
      </c>
      <c r="V5" s="58">
        <v>3</v>
      </c>
      <c r="W5" s="58">
        <v>3</v>
      </c>
      <c r="X5" s="55">
        <f>V12</f>
        <v>16</v>
      </c>
      <c r="Y5" s="55">
        <f>W12</f>
        <v>19</v>
      </c>
      <c r="Z5" s="35">
        <f>(1+V5/W5)/(1+X5/Y5)</f>
        <v>1.0857142857142856</v>
      </c>
    </row>
    <row r="6" spans="1:28">
      <c r="A6" s="33">
        <v>2</v>
      </c>
      <c r="B6" s="26" t="s">
        <v>62</v>
      </c>
      <c r="C6" s="58">
        <v>31</v>
      </c>
      <c r="D6" s="58">
        <v>100</v>
      </c>
      <c r="E6" s="103">
        <v>23518</v>
      </c>
      <c r="F6" s="56">
        <f t="shared" ref="F6:F11" si="0">(C6*D6+E6)/E6</f>
        <v>1.1318139297559315</v>
      </c>
      <c r="G6" s="55">
        <v>432</v>
      </c>
      <c r="H6" s="56">
        <f>H5</f>
        <v>0.45240125035521456</v>
      </c>
      <c r="I6" s="55">
        <f>I5</f>
        <v>1508.1428571428571</v>
      </c>
      <c r="J6" s="57">
        <f t="shared" ref="J6:J11" si="1">(1-H6)+H6*I6/G6</f>
        <v>2.1269638290098651</v>
      </c>
      <c r="K6" s="58">
        <v>9.1999999999999993</v>
      </c>
      <c r="L6" s="55">
        <v>432</v>
      </c>
      <c r="M6" s="55">
        <f>K12</f>
        <v>271.8</v>
      </c>
      <c r="N6" s="55">
        <f>G12</f>
        <v>10557</v>
      </c>
      <c r="O6" s="57">
        <f>(K6/L6)/(M6/N6)</f>
        <v>0.82717071376011764</v>
      </c>
      <c r="P6" s="102">
        <v>173</v>
      </c>
      <c r="Q6" s="55">
        <v>432</v>
      </c>
      <c r="R6" s="55">
        <f>P12</f>
        <v>3019</v>
      </c>
      <c r="S6" s="55">
        <f t="shared" ref="S6:S11" si="2">N6</f>
        <v>10557</v>
      </c>
      <c r="T6" s="57">
        <f t="shared" ref="T6:T11" si="3">(P6/Q6)/($R$5/$S$5)</f>
        <v>1.4003602186154354</v>
      </c>
      <c r="U6" s="73">
        <f t="shared" ref="U6:U11" si="4">(P6/Q6)/(R6/S6)</f>
        <v>1.4003602186154354</v>
      </c>
      <c r="V6" s="58">
        <v>1</v>
      </c>
      <c r="W6" s="58">
        <v>1</v>
      </c>
      <c r="X6" s="55">
        <f>V12</f>
        <v>16</v>
      </c>
      <c r="Y6" s="55">
        <f>W12</f>
        <v>19</v>
      </c>
      <c r="Z6" s="35">
        <f t="shared" ref="Z6:Z8" si="5">(1+V6/W6)/(1+X6/Y6)</f>
        <v>1.0857142857142856</v>
      </c>
    </row>
    <row r="7" spans="1:28">
      <c r="A7" s="33">
        <v>3</v>
      </c>
      <c r="B7" s="26" t="s">
        <v>63</v>
      </c>
      <c r="C7" s="58">
        <v>54</v>
      </c>
      <c r="D7" s="58">
        <v>100</v>
      </c>
      <c r="E7" s="103">
        <v>23518</v>
      </c>
      <c r="F7" s="56">
        <f t="shared" si="0"/>
        <v>1.2296113615103326</v>
      </c>
      <c r="G7" s="55">
        <v>501</v>
      </c>
      <c r="H7" s="56">
        <f>H5</f>
        <v>0.45240125035521456</v>
      </c>
      <c r="I7" s="55">
        <f>I5</f>
        <v>1508.1428571428571</v>
      </c>
      <c r="J7" s="57">
        <f t="shared" si="1"/>
        <v>1.9094464827500037</v>
      </c>
      <c r="K7" s="58">
        <v>17</v>
      </c>
      <c r="L7" s="55">
        <v>501</v>
      </c>
      <c r="M7" s="55">
        <f>K12</f>
        <v>271.8</v>
      </c>
      <c r="N7" s="55">
        <f>G12</f>
        <v>10557</v>
      </c>
      <c r="O7" s="57">
        <f t="shared" ref="O7:O11" si="6">(K7/L7)/(M7/N7)</f>
        <v>1.317960106277511</v>
      </c>
      <c r="P7" s="102">
        <v>583</v>
      </c>
      <c r="Q7" s="55">
        <v>501</v>
      </c>
      <c r="R7" s="55">
        <f>P12</f>
        <v>3019</v>
      </c>
      <c r="S7" s="55">
        <f t="shared" si="2"/>
        <v>10557</v>
      </c>
      <c r="T7" s="57">
        <f t="shared" si="3"/>
        <v>4.0691925192344689</v>
      </c>
      <c r="U7" s="73">
        <v>1.8</v>
      </c>
      <c r="V7" s="58">
        <v>3</v>
      </c>
      <c r="W7" s="58">
        <v>3</v>
      </c>
      <c r="X7" s="55">
        <f>V12</f>
        <v>16</v>
      </c>
      <c r="Y7" s="55">
        <f>W12</f>
        <v>19</v>
      </c>
      <c r="Z7" s="35">
        <f t="shared" si="5"/>
        <v>1.0857142857142856</v>
      </c>
      <c r="AB7" s="40"/>
    </row>
    <row r="8" spans="1:28">
      <c r="A8" s="33">
        <v>4</v>
      </c>
      <c r="B8" s="26" t="s">
        <v>64</v>
      </c>
      <c r="C8" s="58">
        <v>18</v>
      </c>
      <c r="D8" s="58">
        <v>100</v>
      </c>
      <c r="E8" s="103">
        <v>23518</v>
      </c>
      <c r="F8" s="56">
        <f t="shared" si="0"/>
        <v>1.0765371205034442</v>
      </c>
      <c r="G8" s="55">
        <v>906</v>
      </c>
      <c r="H8" s="56">
        <f>H5</f>
        <v>0.45240125035521456</v>
      </c>
      <c r="I8" s="55">
        <f>I5</f>
        <v>1508.1428571428571</v>
      </c>
      <c r="J8" s="57">
        <f t="shared" si="1"/>
        <v>1.3006734894744922</v>
      </c>
      <c r="K8" s="58">
        <v>29.5</v>
      </c>
      <c r="L8" s="55">
        <v>906</v>
      </c>
      <c r="M8" s="55">
        <f>K12</f>
        <v>271.8</v>
      </c>
      <c r="N8" s="55">
        <f>G12</f>
        <v>10557</v>
      </c>
      <c r="O8" s="57">
        <f t="shared" si="6"/>
        <v>1.2646923380553483</v>
      </c>
      <c r="P8" s="102">
        <v>190</v>
      </c>
      <c r="Q8" s="55">
        <v>906</v>
      </c>
      <c r="R8" s="55">
        <f>P12</f>
        <v>3019</v>
      </c>
      <c r="S8" s="55">
        <f t="shared" si="2"/>
        <v>10557</v>
      </c>
      <c r="T8" s="57">
        <f t="shared" si="3"/>
        <v>0.73333567318681447</v>
      </c>
      <c r="U8" s="73">
        <f t="shared" si="4"/>
        <v>0.73333567318681447</v>
      </c>
      <c r="V8" s="58">
        <v>4</v>
      </c>
      <c r="W8" s="58">
        <v>4</v>
      </c>
      <c r="X8" s="55">
        <f>V12</f>
        <v>16</v>
      </c>
      <c r="Y8" s="55">
        <f>W12</f>
        <v>19</v>
      </c>
      <c r="Z8" s="35">
        <f t="shared" si="5"/>
        <v>1.0857142857142856</v>
      </c>
      <c r="AA8" s="36"/>
      <c r="AB8" s="40"/>
    </row>
    <row r="9" spans="1:28">
      <c r="A9" s="33">
        <v>5</v>
      </c>
      <c r="B9" s="26" t="s">
        <v>65</v>
      </c>
      <c r="C9" s="58">
        <v>0</v>
      </c>
      <c r="D9" s="58">
        <v>100</v>
      </c>
      <c r="E9" s="103">
        <v>23518</v>
      </c>
      <c r="F9" s="56">
        <f t="shared" si="0"/>
        <v>1</v>
      </c>
      <c r="G9" s="55">
        <v>4776</v>
      </c>
      <c r="H9" s="56">
        <f>H5</f>
        <v>0.45240125035521456</v>
      </c>
      <c r="I9" s="55">
        <f>I5</f>
        <v>1508.1428571428571</v>
      </c>
      <c r="J9" s="57">
        <f t="shared" si="1"/>
        <v>0.69045589250192829</v>
      </c>
      <c r="K9" s="58">
        <v>131.19999999999999</v>
      </c>
      <c r="L9" s="55">
        <v>4776</v>
      </c>
      <c r="M9" s="55">
        <f>K12</f>
        <v>271.8</v>
      </c>
      <c r="N9" s="55">
        <f>G12</f>
        <v>10557</v>
      </c>
      <c r="O9" s="57">
        <f t="shared" si="6"/>
        <v>1.0669905820493193</v>
      </c>
      <c r="P9" s="102">
        <v>1338</v>
      </c>
      <c r="Q9" s="55">
        <v>4776</v>
      </c>
      <c r="R9" s="55">
        <f>P12</f>
        <v>3019</v>
      </c>
      <c r="S9" s="55">
        <f t="shared" si="2"/>
        <v>10557</v>
      </c>
      <c r="T9" s="57">
        <f t="shared" si="3"/>
        <v>0.97964607735597498</v>
      </c>
      <c r="U9" s="73">
        <f t="shared" si="4"/>
        <v>0.97964607735597498</v>
      </c>
      <c r="V9" s="58">
        <v>3</v>
      </c>
      <c r="W9" s="58">
        <v>4</v>
      </c>
      <c r="X9" s="55">
        <f>V12</f>
        <v>16</v>
      </c>
      <c r="Y9" s="55">
        <f>W12</f>
        <v>19</v>
      </c>
      <c r="Z9" s="35">
        <f t="shared" ref="Z9:Z11" si="7">(1+V9/W9)/(1+X9/Y9)</f>
        <v>0.95000000000000007</v>
      </c>
      <c r="AB9" s="40"/>
    </row>
    <row r="10" spans="1:28">
      <c r="A10" s="33">
        <v>6</v>
      </c>
      <c r="B10" s="26" t="s">
        <v>66</v>
      </c>
      <c r="C10" s="58">
        <v>31</v>
      </c>
      <c r="D10" s="58">
        <v>100</v>
      </c>
      <c r="E10" s="103">
        <v>23518</v>
      </c>
      <c r="F10" s="56">
        <f t="shared" si="0"/>
        <v>1.1318139297559315</v>
      </c>
      <c r="G10" s="55">
        <v>1255</v>
      </c>
      <c r="H10" s="56">
        <f>H5</f>
        <v>0.45240125035521456</v>
      </c>
      <c r="I10" s="55">
        <f>I5</f>
        <v>1508.1428571428571</v>
      </c>
      <c r="J10" s="57">
        <f t="shared" si="1"/>
        <v>1.0912527052509322</v>
      </c>
      <c r="K10" s="58">
        <v>23.7</v>
      </c>
      <c r="L10" s="55">
        <v>1255</v>
      </c>
      <c r="M10" s="55">
        <f>K12</f>
        <v>271.8</v>
      </c>
      <c r="N10" s="55">
        <f>G12</f>
        <v>10557</v>
      </c>
      <c r="O10" s="57">
        <f t="shared" si="6"/>
        <v>0.73349251998627996</v>
      </c>
      <c r="P10" s="102">
        <v>122</v>
      </c>
      <c r="Q10" s="55">
        <v>1255</v>
      </c>
      <c r="R10" s="55">
        <f>P12</f>
        <v>3019</v>
      </c>
      <c r="S10" s="55">
        <f>N10</f>
        <v>10557</v>
      </c>
      <c r="T10" s="57">
        <f t="shared" si="3"/>
        <v>0.33993314585315576</v>
      </c>
      <c r="U10" s="73">
        <f t="shared" si="4"/>
        <v>0.33993314585315576</v>
      </c>
      <c r="V10" s="58">
        <v>1</v>
      </c>
      <c r="W10" s="58">
        <v>2</v>
      </c>
      <c r="X10" s="55">
        <f>V12</f>
        <v>16</v>
      </c>
      <c r="Y10" s="55">
        <f>W12</f>
        <v>19</v>
      </c>
      <c r="Z10" s="35">
        <f t="shared" si="7"/>
        <v>0.81428571428571428</v>
      </c>
      <c r="AB10" s="40"/>
    </row>
    <row r="11" spans="1:28">
      <c r="A11" s="33">
        <v>7</v>
      </c>
      <c r="B11" s="26" t="s">
        <v>67</v>
      </c>
      <c r="C11" s="58">
        <v>9</v>
      </c>
      <c r="D11" s="58">
        <v>100</v>
      </c>
      <c r="E11" s="103">
        <v>23518</v>
      </c>
      <c r="F11" s="56">
        <f t="shared" si="0"/>
        <v>1.0382685602517221</v>
      </c>
      <c r="G11" s="55">
        <v>1920</v>
      </c>
      <c r="H11" s="56">
        <f>H5</f>
        <v>0.45240125035521456</v>
      </c>
      <c r="I11" s="55">
        <f>I5</f>
        <v>1508.1428571428571</v>
      </c>
      <c r="J11" s="57">
        <f t="shared" si="1"/>
        <v>0.90295589250192831</v>
      </c>
      <c r="K11" s="58">
        <v>49.1</v>
      </c>
      <c r="L11" s="55">
        <v>1920</v>
      </c>
      <c r="M11" s="55">
        <f>K12</f>
        <v>271.8</v>
      </c>
      <c r="N11" s="55">
        <f>G12</f>
        <v>10557</v>
      </c>
      <c r="O11" s="57">
        <f t="shared" si="6"/>
        <v>0.99327918046357611</v>
      </c>
      <c r="P11" s="102">
        <v>428</v>
      </c>
      <c r="Q11" s="55">
        <v>1920</v>
      </c>
      <c r="R11" s="55">
        <f>P12</f>
        <v>3019</v>
      </c>
      <c r="S11" s="55">
        <f t="shared" si="2"/>
        <v>10557</v>
      </c>
      <c r="T11" s="57">
        <f t="shared" si="3"/>
        <v>0.77950687313680023</v>
      </c>
      <c r="U11" s="73">
        <f t="shared" si="4"/>
        <v>0.77950687313680023</v>
      </c>
      <c r="V11" s="58">
        <v>1</v>
      </c>
      <c r="W11" s="58">
        <v>2</v>
      </c>
      <c r="X11" s="55">
        <f>V12</f>
        <v>16</v>
      </c>
      <c r="Y11" s="55">
        <f>W12</f>
        <v>19</v>
      </c>
      <c r="Z11" s="35">
        <f t="shared" si="7"/>
        <v>0.81428571428571428</v>
      </c>
      <c r="AA11" s="36"/>
      <c r="AB11" s="40"/>
    </row>
    <row r="12" spans="1:28">
      <c r="A12" s="33"/>
      <c r="B12" s="33" t="s">
        <v>80</v>
      </c>
      <c r="C12" s="55"/>
      <c r="D12" s="55"/>
      <c r="E12" s="55"/>
      <c r="F12" s="55"/>
      <c r="G12" s="55">
        <f>SUM(G5:G11)</f>
        <v>10557</v>
      </c>
      <c r="H12" s="55"/>
      <c r="I12" s="55"/>
      <c r="J12" s="55"/>
      <c r="K12" s="55">
        <f>SUM(K5:K11)</f>
        <v>271.8</v>
      </c>
      <c r="L12" s="55">
        <f>SUM(L5:L11)</f>
        <v>10557</v>
      </c>
      <c r="M12" s="55"/>
      <c r="N12" s="55"/>
      <c r="O12" s="55"/>
      <c r="P12" s="102">
        <f>SUM(P5:P11)</f>
        <v>3019</v>
      </c>
      <c r="Q12" s="55">
        <f>SUM(Q5:Q11)</f>
        <v>10557</v>
      </c>
      <c r="R12" s="58"/>
      <c r="S12" s="58"/>
      <c r="T12" s="58"/>
      <c r="U12" s="64"/>
      <c r="V12" s="58">
        <f>SUM(V5:V11)</f>
        <v>16</v>
      </c>
      <c r="W12" s="58">
        <f>SUM(W5:W11)</f>
        <v>19</v>
      </c>
      <c r="X12" s="58"/>
      <c r="Y12" s="58"/>
      <c r="Z12" s="34"/>
      <c r="AB12" s="40"/>
    </row>
    <row r="13" spans="1:28">
      <c r="AB13" s="40"/>
    </row>
  </sheetData>
  <mergeCells count="1">
    <mergeCell ref="A1:Z1"/>
  </mergeCells>
  <pageMargins left="0.70866141732283472" right="0.70866141732283472" top="1.9685039370078741" bottom="0.74803149606299213" header="0.31496062992125984" footer="0.31496062992125984"/>
  <pageSetup paperSize="9" scale="51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3"/>
  <sheetViews>
    <sheetView zoomScaleSheetLayoutView="78" workbookViewId="0">
      <selection activeCell="O13" sqref="O13"/>
    </sheetView>
  </sheetViews>
  <sheetFormatPr defaultRowHeight="15"/>
  <cols>
    <col min="1" max="1" width="6.140625" customWidth="1"/>
    <col min="2" max="2" width="19.140625" customWidth="1"/>
    <col min="3" max="3" width="12.140625" customWidth="1"/>
    <col min="4" max="4" width="12.5703125" customWidth="1"/>
    <col min="5" max="5" width="12.85546875" customWidth="1"/>
    <col min="6" max="6" width="12.140625" customWidth="1"/>
    <col min="7" max="7" width="8.85546875" customWidth="1"/>
    <col min="8" max="8" width="11.42578125" customWidth="1"/>
    <col min="9" max="9" width="12.5703125" customWidth="1"/>
    <col min="10" max="10" width="14.7109375" customWidth="1"/>
    <col min="11" max="11" width="11.140625" customWidth="1"/>
    <col min="12" max="12" width="10.5703125" bestFit="1" customWidth="1"/>
    <col min="13" max="13" width="15.42578125" customWidth="1"/>
    <col min="14" max="14" width="9.42578125" bestFit="1" customWidth="1"/>
  </cols>
  <sheetData>
    <row r="1" spans="1:16" ht="36.75" customHeight="1">
      <c r="A1" s="2"/>
      <c r="B1" s="2"/>
      <c r="C1" s="108" t="s">
        <v>111</v>
      </c>
      <c r="D1" s="108"/>
      <c r="E1" s="108"/>
      <c r="F1" s="108"/>
      <c r="G1" s="2"/>
      <c r="H1" s="2"/>
      <c r="I1" s="2"/>
      <c r="J1" s="2"/>
      <c r="K1" s="2"/>
      <c r="L1" s="2"/>
    </row>
    <row r="2" spans="1:16" ht="60">
      <c r="A2" s="1" t="s">
        <v>4</v>
      </c>
      <c r="B2" s="1" t="s">
        <v>5</v>
      </c>
      <c r="C2" s="8" t="s">
        <v>77</v>
      </c>
      <c r="D2" s="8" t="s">
        <v>11</v>
      </c>
      <c r="E2" s="8" t="s">
        <v>78</v>
      </c>
      <c r="F2" s="8" t="s">
        <v>29</v>
      </c>
      <c r="G2" s="8" t="s">
        <v>79</v>
      </c>
      <c r="H2" s="8" t="s">
        <v>18</v>
      </c>
      <c r="I2" s="8" t="s">
        <v>24</v>
      </c>
      <c r="J2" s="8" t="s">
        <v>25</v>
      </c>
      <c r="K2" s="2"/>
      <c r="L2" s="2"/>
    </row>
    <row r="3" spans="1:16">
      <c r="A3" s="27">
        <v>1</v>
      </c>
      <c r="B3" s="26" t="s">
        <v>61</v>
      </c>
      <c r="C3" s="6">
        <f>C20/F20</f>
        <v>0.15431458035397086</v>
      </c>
      <c r="D3" s="6">
        <f>'Расчет К удорожания'!J5</f>
        <v>1.4371498764840478</v>
      </c>
      <c r="E3" s="22">
        <f>D20/F20</f>
        <v>0.42729984767448087</v>
      </c>
      <c r="F3" s="6">
        <f>'Расчет К удорожания'!O5</f>
        <v>0.61274683336643143</v>
      </c>
      <c r="G3" s="6">
        <f>E20/F20</f>
        <v>0.41838557197154819</v>
      </c>
      <c r="H3" s="3">
        <f>'Расчет К удорожания'!U5</f>
        <v>0.84343918330365741</v>
      </c>
      <c r="I3" s="3">
        <f>'Расчет К удорожания'!Z5</f>
        <v>1.0857142857142856</v>
      </c>
      <c r="J3" s="3">
        <f>C3*D3+E3*F3+G3*H3*I3</f>
        <v>0.86672968965387109</v>
      </c>
      <c r="K3" s="2"/>
      <c r="L3" s="2"/>
    </row>
    <row r="4" spans="1:16">
      <c r="A4" s="27">
        <v>2</v>
      </c>
      <c r="B4" s="26" t="s">
        <v>62</v>
      </c>
      <c r="C4" s="6">
        <f>C3</f>
        <v>0.15431458035397086</v>
      </c>
      <c r="D4" s="6">
        <f>'Расчет К удорожания'!J6</f>
        <v>2.1269638290098651</v>
      </c>
      <c r="E4" s="22">
        <f>E3</f>
        <v>0.42729984767448087</v>
      </c>
      <c r="F4" s="6">
        <f>'Расчет К удорожания'!O6</f>
        <v>0.82717071376011764</v>
      </c>
      <c r="G4" s="6">
        <f>G3</f>
        <v>0.41838557197154819</v>
      </c>
      <c r="H4" s="3">
        <f>'Расчет К удорожания'!U6</f>
        <v>1.4003602186154354</v>
      </c>
      <c r="I4" s="3">
        <f>'Расчет К удорожания'!Z6</f>
        <v>1.0857142857142856</v>
      </c>
      <c r="J4" s="3">
        <f t="shared" ref="J4:J9" si="0">C4*D4+E4*F4+G4*H4*I4</f>
        <v>1.3177811483836965</v>
      </c>
      <c r="K4" s="2"/>
      <c r="L4" s="2"/>
    </row>
    <row r="5" spans="1:16">
      <c r="A5" s="27">
        <v>3</v>
      </c>
      <c r="B5" s="26" t="s">
        <v>63</v>
      </c>
      <c r="C5" s="6">
        <f>C3</f>
        <v>0.15431458035397086</v>
      </c>
      <c r="D5" s="6">
        <f>'Расчет К удорожания'!J7</f>
        <v>1.9094464827500037</v>
      </c>
      <c r="E5" s="22">
        <f>E3</f>
        <v>0.42729984767448087</v>
      </c>
      <c r="F5" s="6">
        <f>'Расчет К удорожания'!O7</f>
        <v>1.317960106277511</v>
      </c>
      <c r="G5" s="6">
        <f>G3</f>
        <v>0.41838557197154819</v>
      </c>
      <c r="H5" s="3">
        <f>'Расчет К удорожания'!U7</f>
        <v>1.8</v>
      </c>
      <c r="I5" s="3">
        <f>'Расчет К удорожания'!Z7</f>
        <v>1.0857142857142856</v>
      </c>
      <c r="J5" s="3">
        <f t="shared" si="0"/>
        <v>1.6754645317146097</v>
      </c>
      <c r="K5" s="2"/>
      <c r="L5" s="2"/>
    </row>
    <row r="6" spans="1:16">
      <c r="A6" s="27">
        <v>4</v>
      </c>
      <c r="B6" s="26" t="s">
        <v>64</v>
      </c>
      <c r="C6" s="6">
        <f>C3</f>
        <v>0.15431458035397086</v>
      </c>
      <c r="D6" s="6">
        <f>'Расчет К удорожания'!J8</f>
        <v>1.3006734894744922</v>
      </c>
      <c r="E6" s="22">
        <f>E3</f>
        <v>0.42729984767448087</v>
      </c>
      <c r="F6" s="6">
        <f>'Расчет К удорожания'!O8</f>
        <v>1.2646923380553483</v>
      </c>
      <c r="G6" s="6">
        <f>G3</f>
        <v>0.41838557197154819</v>
      </c>
      <c r="H6" s="3">
        <f>'Расчет К удорожания'!U8</f>
        <v>0.73333567318681447</v>
      </c>
      <c r="I6" s="3">
        <f>'Расчет К удорожания'!Z8</f>
        <v>1.0857142857142856</v>
      </c>
      <c r="J6" s="3">
        <f t="shared" si="0"/>
        <v>1.0742313977630509</v>
      </c>
      <c r="K6" s="2"/>
      <c r="L6" s="2"/>
    </row>
    <row r="7" spans="1:16">
      <c r="A7" s="27">
        <v>5</v>
      </c>
      <c r="B7" s="26" t="s">
        <v>65</v>
      </c>
      <c r="C7" s="6">
        <f>C3</f>
        <v>0.15431458035397086</v>
      </c>
      <c r="D7" s="6">
        <f>'Расчет К удорожания'!J9</f>
        <v>0.69045589250192829</v>
      </c>
      <c r="E7" s="22">
        <f>E3</f>
        <v>0.42729984767448087</v>
      </c>
      <c r="F7" s="6">
        <f>'Расчет К удорожания'!O9</f>
        <v>1.0669905820493193</v>
      </c>
      <c r="G7" s="6">
        <f>G3</f>
        <v>0.41838557197154819</v>
      </c>
      <c r="H7" s="3">
        <f>'Расчет К удорожания'!U9</f>
        <v>0.97964607735597498</v>
      </c>
      <c r="I7" s="3">
        <f>'Расчет К удорожания'!Z9</f>
        <v>0.95000000000000007</v>
      </c>
      <c r="J7" s="3">
        <f t="shared" si="0"/>
        <v>0.95184861966819123</v>
      </c>
      <c r="K7" s="2"/>
      <c r="L7" s="2"/>
    </row>
    <row r="8" spans="1:16">
      <c r="A8" s="27">
        <v>6</v>
      </c>
      <c r="B8" s="26" t="s">
        <v>66</v>
      </c>
      <c r="C8" s="6">
        <f>C3</f>
        <v>0.15431458035397086</v>
      </c>
      <c r="D8" s="6">
        <f>'Расчет К удорожания'!J10</f>
        <v>1.0912527052509322</v>
      </c>
      <c r="E8" s="22">
        <f>E3</f>
        <v>0.42729984767448087</v>
      </c>
      <c r="F8" s="6">
        <f>'Расчет К удорожания'!O10</f>
        <v>0.73349251998627996</v>
      </c>
      <c r="G8" s="6">
        <f>G3</f>
        <v>0.41838557197154819</v>
      </c>
      <c r="H8" s="3">
        <f>'Расчет К удорожания'!U10</f>
        <v>0.33993314585315576</v>
      </c>
      <c r="I8" s="3">
        <f>'Расчет К удорожания'!Z10</f>
        <v>0.81428571428571428</v>
      </c>
      <c r="J8" s="3">
        <f t="shared" si="0"/>
        <v>0.59762770316875635</v>
      </c>
      <c r="K8" s="2"/>
      <c r="L8" s="2"/>
    </row>
    <row r="9" spans="1:16">
      <c r="A9" s="27">
        <v>7</v>
      </c>
      <c r="B9" s="26" t="s">
        <v>67</v>
      </c>
      <c r="C9" s="6">
        <f>C3</f>
        <v>0.15431458035397086</v>
      </c>
      <c r="D9" s="6">
        <f>'Расчет К удорожания'!J11</f>
        <v>0.90295589250192831</v>
      </c>
      <c r="E9" s="22">
        <f>E3</f>
        <v>0.42729984767448087</v>
      </c>
      <c r="F9" s="6">
        <f>'Расчет К удорожания'!O11</f>
        <v>0.99327918046357611</v>
      </c>
      <c r="G9" s="6">
        <f>G3</f>
        <v>0.41838557197154819</v>
      </c>
      <c r="H9" s="3">
        <f>'Расчет К удорожания'!U11</f>
        <v>0.77950687313680023</v>
      </c>
      <c r="I9" s="3">
        <f>'Расчет К удорожания'!Z11</f>
        <v>0.81428571428571428</v>
      </c>
      <c r="J9" s="3">
        <f t="shared" si="0"/>
        <v>0.82933390858941824</v>
      </c>
      <c r="K9" s="2"/>
      <c r="L9" s="2"/>
    </row>
    <row r="10" spans="1:16" s="15" customFormat="1">
      <c r="A10" s="7"/>
      <c r="B10" s="54"/>
      <c r="C10" s="54"/>
      <c r="D10" s="54"/>
      <c r="E10" s="54"/>
      <c r="F10" s="54"/>
      <c r="G10" s="7"/>
      <c r="H10" s="7"/>
      <c r="I10" s="7"/>
      <c r="J10" s="7"/>
      <c r="K10" s="7"/>
      <c r="L10" s="7"/>
    </row>
    <row r="11" spans="1:16" s="15" customFormat="1" ht="21.75" customHeight="1">
      <c r="A11" s="7"/>
      <c r="B11" s="109" t="s">
        <v>93</v>
      </c>
      <c r="C11" s="109"/>
      <c r="D11" s="109"/>
      <c r="E11" s="109"/>
      <c r="F11" s="104" t="s">
        <v>105</v>
      </c>
      <c r="G11" s="7"/>
      <c r="H11" s="7"/>
      <c r="I11" s="7"/>
      <c r="J11" s="7"/>
      <c r="K11" s="7"/>
      <c r="L11" s="7"/>
    </row>
    <row r="12" spans="1:16" s="15" customFormat="1" ht="40.5" customHeight="1">
      <c r="A12" s="4" t="s">
        <v>4</v>
      </c>
      <c r="B12" s="30" t="s">
        <v>5</v>
      </c>
      <c r="C12" s="33" t="s">
        <v>59</v>
      </c>
      <c r="D12" s="33" t="s">
        <v>82</v>
      </c>
      <c r="E12" s="33" t="s">
        <v>28</v>
      </c>
      <c r="F12" s="33" t="s">
        <v>27</v>
      </c>
      <c r="G12" s="7"/>
      <c r="H12" s="7"/>
      <c r="I12" s="7"/>
      <c r="J12" s="7"/>
      <c r="K12" s="20"/>
      <c r="L12" s="20"/>
      <c r="M12" s="21"/>
      <c r="N12" s="21"/>
      <c r="O12" s="21"/>
      <c r="P12" s="21"/>
    </row>
    <row r="13" spans="1:16" s="15" customFormat="1">
      <c r="A13" s="27">
        <v>1</v>
      </c>
      <c r="B13" s="26" t="s">
        <v>61</v>
      </c>
      <c r="C13" s="92">
        <v>2963.3</v>
      </c>
      <c r="D13" s="92">
        <v>160.80000000000001</v>
      </c>
      <c r="E13" s="93">
        <v>4276.2999999999993</v>
      </c>
      <c r="F13" s="92">
        <v>7400.4</v>
      </c>
      <c r="G13" s="7"/>
      <c r="H13" s="7"/>
      <c r="I13" s="7"/>
      <c r="J13" s="7"/>
      <c r="K13" s="10"/>
      <c r="L13" s="10"/>
      <c r="M13" s="80"/>
      <c r="N13" s="10"/>
      <c r="O13" s="21"/>
      <c r="P13" s="21"/>
    </row>
    <row r="14" spans="1:16" s="15" customFormat="1">
      <c r="A14" s="27">
        <v>2</v>
      </c>
      <c r="B14" s="26" t="s">
        <v>62</v>
      </c>
      <c r="C14" s="92">
        <v>2118.5</v>
      </c>
      <c r="D14" s="92">
        <v>69.400000000000006</v>
      </c>
      <c r="E14" s="93">
        <v>2008.6000000000004</v>
      </c>
      <c r="F14" s="92">
        <v>4196.5</v>
      </c>
      <c r="G14" s="7"/>
      <c r="H14" s="7"/>
      <c r="I14" s="7"/>
      <c r="J14" s="7"/>
      <c r="K14" s="46"/>
      <c r="L14" s="10"/>
      <c r="M14" s="80"/>
      <c r="N14" s="21"/>
      <c r="O14" s="21"/>
      <c r="P14" s="21"/>
    </row>
    <row r="15" spans="1:16" s="15" customFormat="1">
      <c r="A15" s="27">
        <v>3</v>
      </c>
      <c r="B15" s="26" t="s">
        <v>63</v>
      </c>
      <c r="C15" s="92">
        <v>2328.9</v>
      </c>
      <c r="D15" s="92">
        <v>545.20000000000005</v>
      </c>
      <c r="E15" s="93">
        <v>4792.7999999999993</v>
      </c>
      <c r="F15" s="92">
        <v>7666.9</v>
      </c>
      <c r="G15" s="7"/>
      <c r="H15" s="7"/>
      <c r="I15" s="7"/>
      <c r="J15" s="7"/>
      <c r="K15" s="46"/>
      <c r="L15" s="10"/>
      <c r="M15" s="80"/>
      <c r="N15" s="21"/>
      <c r="O15" s="21"/>
      <c r="P15" s="21"/>
    </row>
    <row r="16" spans="1:16" s="15" customFormat="1">
      <c r="A16" s="27">
        <v>4</v>
      </c>
      <c r="B16" s="26" t="s">
        <v>64</v>
      </c>
      <c r="C16" s="92">
        <v>2568</v>
      </c>
      <c r="D16" s="92">
        <v>814.7</v>
      </c>
      <c r="E16" s="93">
        <v>7479.2999999999975</v>
      </c>
      <c r="F16" s="92">
        <v>10861.999999999996</v>
      </c>
      <c r="G16" s="7"/>
      <c r="H16" s="7"/>
      <c r="I16" s="7"/>
      <c r="J16" s="7"/>
      <c r="K16" s="46"/>
      <c r="L16" s="10"/>
      <c r="M16" s="80"/>
      <c r="N16" s="21"/>
      <c r="O16" s="21"/>
      <c r="P16" s="21"/>
    </row>
    <row r="17" spans="1:16" s="15" customFormat="1">
      <c r="A17" s="27">
        <v>5</v>
      </c>
      <c r="B17" s="26" t="s">
        <v>65</v>
      </c>
      <c r="C17" s="92">
        <v>5033.2000000000007</v>
      </c>
      <c r="D17" s="92">
        <v>41268.700000000004</v>
      </c>
      <c r="E17" s="93">
        <v>13554.799999999992</v>
      </c>
      <c r="F17" s="92">
        <v>59856.7</v>
      </c>
      <c r="G17" s="7"/>
      <c r="H17" s="7"/>
      <c r="I17" s="7"/>
      <c r="J17" s="7"/>
      <c r="K17" s="46"/>
      <c r="L17" s="10"/>
      <c r="M17" s="80"/>
      <c r="N17" s="21"/>
      <c r="O17" s="21"/>
      <c r="P17" s="21"/>
    </row>
    <row r="18" spans="1:16" s="15" customFormat="1">
      <c r="A18" s="27">
        <v>6</v>
      </c>
      <c r="B18" s="26" t="s">
        <v>66</v>
      </c>
      <c r="C18" s="92">
        <v>3809.7999999999997</v>
      </c>
      <c r="D18" s="92">
        <v>16644.3</v>
      </c>
      <c r="E18" s="93">
        <v>19816.600000000006</v>
      </c>
      <c r="F18" s="92">
        <v>40270.700000000004</v>
      </c>
      <c r="G18" s="7"/>
      <c r="H18" s="7"/>
      <c r="I18" s="7"/>
      <c r="J18" s="7"/>
      <c r="K18" s="46"/>
      <c r="L18" s="10"/>
      <c r="M18" s="80"/>
      <c r="N18" s="21"/>
      <c r="O18" s="21"/>
      <c r="P18" s="21"/>
    </row>
    <row r="19" spans="1:16" s="15" customFormat="1">
      <c r="A19" s="27">
        <v>7</v>
      </c>
      <c r="B19" s="26" t="s">
        <v>67</v>
      </c>
      <c r="C19" s="92">
        <v>3374.4</v>
      </c>
      <c r="D19" s="92">
        <v>1958.3000000000002</v>
      </c>
      <c r="E19" s="93">
        <v>8250.7999999999975</v>
      </c>
      <c r="F19" s="92">
        <v>13583.499999999998</v>
      </c>
      <c r="G19" s="7"/>
      <c r="H19" s="7"/>
      <c r="I19" s="7"/>
      <c r="J19" s="7"/>
      <c r="K19" s="46"/>
      <c r="L19" s="10"/>
      <c r="M19" s="80"/>
      <c r="N19" s="21"/>
      <c r="O19" s="21"/>
      <c r="P19" s="21"/>
    </row>
    <row r="20" spans="1:16" s="15" customFormat="1">
      <c r="A20" s="8"/>
      <c r="B20" s="33" t="s">
        <v>80</v>
      </c>
      <c r="C20" s="94">
        <f>SUM(C13:C19)</f>
        <v>22196.100000000002</v>
      </c>
      <c r="D20" s="94">
        <f>SUM(D13:D19)</f>
        <v>61461.400000000009</v>
      </c>
      <c r="E20" s="94">
        <f>SUM(E13:E19)</f>
        <v>60179.19999999999</v>
      </c>
      <c r="F20" s="94">
        <f>SUM(F13:F19)</f>
        <v>143836.70000000001</v>
      </c>
      <c r="G20" s="7"/>
      <c r="H20" s="7"/>
      <c r="I20" s="7"/>
      <c r="J20" s="7"/>
      <c r="K20" s="46"/>
      <c r="L20" s="10"/>
      <c r="M20" s="80"/>
      <c r="N20" s="21"/>
      <c r="O20" s="21"/>
      <c r="P20" s="21"/>
    </row>
    <row r="21" spans="1:16" s="15" customFormat="1">
      <c r="A21" s="7"/>
      <c r="B21" s="7"/>
      <c r="C21" s="7"/>
      <c r="D21" s="7"/>
      <c r="E21" s="7"/>
      <c r="F21" s="7"/>
      <c r="G21" s="7"/>
      <c r="H21" s="7"/>
      <c r="I21" s="7"/>
      <c r="J21" s="7"/>
      <c r="K21" s="20"/>
      <c r="L21" s="20"/>
      <c r="M21" s="21"/>
      <c r="N21" s="21"/>
      <c r="O21" s="21"/>
      <c r="P21" s="21"/>
    </row>
    <row r="22" spans="1:16" s="15" customFormat="1">
      <c r="C22" s="40"/>
      <c r="F22" s="96"/>
      <c r="G22" s="7"/>
      <c r="H22" s="7"/>
      <c r="I22" s="7"/>
      <c r="J22" s="7"/>
    </row>
    <row r="23" spans="1:16" s="15" customFormat="1"/>
  </sheetData>
  <mergeCells count="2">
    <mergeCell ref="C1:F1"/>
    <mergeCell ref="B11:E11"/>
  </mergeCells>
  <pageMargins left="1.1811023622047245" right="0.39370078740157483" top="0.78740157480314965" bottom="0.39370078740157483" header="0.31496062992125984" footer="0.31496062992125984"/>
  <pageSetup paperSize="9" scale="62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0"/>
  <sheetViews>
    <sheetView zoomScale="90" zoomScaleNormal="90" workbookViewId="0">
      <selection activeCell="E2" sqref="E2:E10"/>
    </sheetView>
  </sheetViews>
  <sheetFormatPr defaultRowHeight="15"/>
  <cols>
    <col min="1" max="1" width="6.140625" customWidth="1"/>
    <col min="2" max="2" width="19.140625" customWidth="1"/>
    <col min="3" max="3" width="10.5703125" customWidth="1"/>
    <col min="4" max="4" width="11.28515625" customWidth="1"/>
    <col min="5" max="5" width="12" customWidth="1"/>
    <col min="6" max="6" width="17.7109375" customWidth="1"/>
    <col min="7" max="7" width="11.85546875" customWidth="1"/>
    <col min="8" max="9" width="12.140625" customWidth="1"/>
    <col min="10" max="10" width="13.140625" customWidth="1"/>
    <col min="11" max="12" width="12.85546875" customWidth="1"/>
  </cols>
  <sheetData>
    <row r="1" spans="1:14">
      <c r="A1" s="108" t="s">
        <v>55</v>
      </c>
      <c r="B1" s="108"/>
      <c r="C1" s="108"/>
      <c r="D1" s="108"/>
      <c r="E1" s="108"/>
      <c r="F1" s="108"/>
      <c r="G1" s="108"/>
      <c r="H1" s="108"/>
      <c r="I1" s="108"/>
      <c r="J1" s="2"/>
      <c r="K1" s="2"/>
      <c r="L1" s="2"/>
      <c r="M1" s="2"/>
      <c r="N1" s="2"/>
    </row>
    <row r="2" spans="1:14" s="9" customFormat="1" ht="90">
      <c r="A2" s="1" t="s">
        <v>4</v>
      </c>
      <c r="B2" s="1" t="s">
        <v>5</v>
      </c>
      <c r="C2" s="4" t="s">
        <v>8</v>
      </c>
      <c r="D2" s="4" t="s">
        <v>25</v>
      </c>
      <c r="E2" s="59" t="s">
        <v>9</v>
      </c>
      <c r="F2" s="4" t="s">
        <v>30</v>
      </c>
      <c r="G2" s="4" t="s">
        <v>14</v>
      </c>
      <c r="H2" s="4" t="s">
        <v>31</v>
      </c>
      <c r="I2" s="4" t="s">
        <v>26</v>
      </c>
      <c r="J2" s="11"/>
      <c r="K2" s="11"/>
      <c r="L2" s="11"/>
      <c r="M2" s="11"/>
      <c r="N2" s="11"/>
    </row>
    <row r="3" spans="1:14">
      <c r="A3" s="5">
        <v>1</v>
      </c>
      <c r="B3" s="26" t="s">
        <v>61</v>
      </c>
      <c r="C3" s="41">
        <f>'Расчет К удорожания'!F5</f>
        <v>1.1063015562547835</v>
      </c>
      <c r="D3" s="6">
        <f>'Расчет удельного веса расходов'!J3</f>
        <v>0.86672968965387109</v>
      </c>
      <c r="E3" s="55">
        <v>767</v>
      </c>
      <c r="F3" s="6">
        <f>(C3*D3*E3)</f>
        <v>735.44899826400456</v>
      </c>
      <c r="G3" s="6">
        <f>E10</f>
        <v>10557</v>
      </c>
      <c r="H3" s="6">
        <f>F10</f>
        <v>10507.830804462486</v>
      </c>
      <c r="I3" s="38">
        <f>C3*D3*G3/H3</f>
        <v>0.96335120985957168</v>
      </c>
      <c r="J3" s="2"/>
      <c r="K3" s="2"/>
      <c r="L3" s="2"/>
      <c r="M3" s="2"/>
      <c r="N3" s="2"/>
    </row>
    <row r="4" spans="1:14">
      <c r="A4" s="5">
        <v>2</v>
      </c>
      <c r="B4" s="26" t="s">
        <v>62</v>
      </c>
      <c r="C4" s="41">
        <f>'Расчет К удорожания'!F6</f>
        <v>1.1318139297559315</v>
      </c>
      <c r="D4" s="6">
        <f>'Расчет удельного веса расходов'!J4</f>
        <v>1.3177811483836965</v>
      </c>
      <c r="E4" s="55">
        <v>432</v>
      </c>
      <c r="F4" s="6">
        <f t="shared" ref="F4:F9" si="0">(C4*D4*E4)</f>
        <v>644.32068196770831</v>
      </c>
      <c r="G4" s="6">
        <f>E10</f>
        <v>10557</v>
      </c>
      <c r="H4" s="6">
        <f>F10</f>
        <v>10507.830804462486</v>
      </c>
      <c r="I4" s="38">
        <f t="shared" ref="I4:I9" si="1">C4*D4*G4/H4</f>
        <v>1.4984621430047202</v>
      </c>
      <c r="J4" s="2"/>
      <c r="K4" s="2"/>
      <c r="L4" s="2"/>
      <c r="M4" s="2"/>
      <c r="N4" s="2"/>
    </row>
    <row r="5" spans="1:14">
      <c r="A5" s="5">
        <v>3</v>
      </c>
      <c r="B5" s="26" t="s">
        <v>63</v>
      </c>
      <c r="C5" s="41">
        <f>'Расчет К удорожания'!F7</f>
        <v>1.2296113615103326</v>
      </c>
      <c r="D5" s="6">
        <f>'Расчет удельного веса расходов'!J5</f>
        <v>1.6754645317146097</v>
      </c>
      <c r="E5" s="55">
        <v>501</v>
      </c>
      <c r="F5" s="6">
        <f t="shared" si="0"/>
        <v>1032.1452822259405</v>
      </c>
      <c r="G5" s="6">
        <f>E10</f>
        <v>10557</v>
      </c>
      <c r="H5" s="6">
        <f>F10</f>
        <v>10507.830804462486</v>
      </c>
      <c r="I5" s="38">
        <f t="shared" si="1"/>
        <v>2.0698103594866017</v>
      </c>
      <c r="J5" s="2"/>
      <c r="K5" s="2"/>
      <c r="L5" s="2"/>
      <c r="M5" s="2"/>
      <c r="N5" s="2"/>
    </row>
    <row r="6" spans="1:14">
      <c r="A6" s="5">
        <v>4</v>
      </c>
      <c r="B6" s="26" t="s">
        <v>64</v>
      </c>
      <c r="C6" s="41">
        <f>'Расчет К удорожания'!F8</f>
        <v>1.0765371205034442</v>
      </c>
      <c r="D6" s="6">
        <f>'Расчет удельного веса расходов'!J6</f>
        <v>1.0742313977630509</v>
      </c>
      <c r="E6" s="55">
        <v>906</v>
      </c>
      <c r="F6" s="6">
        <f t="shared" si="0"/>
        <v>1047.7436779862157</v>
      </c>
      <c r="G6" s="6">
        <f>E10</f>
        <v>10557</v>
      </c>
      <c r="H6" s="6">
        <f>F10</f>
        <v>10507.830804462486</v>
      </c>
      <c r="I6" s="38">
        <f t="shared" si="1"/>
        <v>1.161861341382048</v>
      </c>
      <c r="J6" s="2"/>
      <c r="K6" s="2"/>
      <c r="L6" s="2"/>
      <c r="M6" s="2"/>
      <c r="N6" s="2"/>
    </row>
    <row r="7" spans="1:14">
      <c r="A7" s="5">
        <v>5</v>
      </c>
      <c r="B7" s="26" t="s">
        <v>65</v>
      </c>
      <c r="C7" s="41">
        <f>'Расчет К удорожания'!F9</f>
        <v>1</v>
      </c>
      <c r="D7" s="6">
        <f>'Расчет удельного веса расходов'!J7</f>
        <v>0.95184861966819123</v>
      </c>
      <c r="E7" s="55">
        <v>4776</v>
      </c>
      <c r="F7" s="6">
        <f t="shared" si="0"/>
        <v>4546.0290075352814</v>
      </c>
      <c r="G7" s="6">
        <f>E10</f>
        <v>10557</v>
      </c>
      <c r="H7" s="6">
        <f>F10</f>
        <v>10507.830804462486</v>
      </c>
      <c r="I7" s="38">
        <f t="shared" si="1"/>
        <v>0.95630259611428148</v>
      </c>
      <c r="J7" s="2"/>
      <c r="K7" s="2"/>
      <c r="L7" s="2"/>
      <c r="M7" s="2"/>
      <c r="N7" s="2"/>
    </row>
    <row r="8" spans="1:14">
      <c r="A8" s="5">
        <v>6</v>
      </c>
      <c r="B8" s="26" t="s">
        <v>66</v>
      </c>
      <c r="C8" s="41">
        <f>'Расчет К удорожания'!F10</f>
        <v>1.1318139297559315</v>
      </c>
      <c r="D8" s="6">
        <f>'Расчет удельного веса расходов'!J8</f>
        <v>0.59762770316875635</v>
      </c>
      <c r="E8" s="55">
        <v>1255</v>
      </c>
      <c r="F8" s="6">
        <f t="shared" si="0"/>
        <v>848.88621586432407</v>
      </c>
      <c r="G8" s="6">
        <f>E10</f>
        <v>10557</v>
      </c>
      <c r="H8" s="6">
        <f>F10</f>
        <v>10507.830804462486</v>
      </c>
      <c r="I8" s="38">
        <f t="shared" si="1"/>
        <v>0.6795684472399931</v>
      </c>
      <c r="J8" s="2"/>
      <c r="K8" s="2"/>
      <c r="L8" s="2"/>
      <c r="M8" s="2"/>
      <c r="N8" s="2"/>
    </row>
    <row r="9" spans="1:14">
      <c r="A9" s="5">
        <v>7</v>
      </c>
      <c r="B9" s="26" t="s">
        <v>67</v>
      </c>
      <c r="C9" s="41">
        <f>'Расчет К удорожания'!F11</f>
        <v>1.0382685602517221</v>
      </c>
      <c r="D9" s="6">
        <f>'Расчет удельного веса расходов'!J9</f>
        <v>0.82933390858941824</v>
      </c>
      <c r="E9" s="55">
        <v>1920</v>
      </c>
      <c r="F9" s="6">
        <f t="shared" si="0"/>
        <v>1653.2569406190116</v>
      </c>
      <c r="G9" s="6">
        <f>E10</f>
        <v>10557</v>
      </c>
      <c r="H9" s="6">
        <f>F10</f>
        <v>10507.830804462486</v>
      </c>
      <c r="I9" s="38">
        <f t="shared" si="1"/>
        <v>0.86510052632122203</v>
      </c>
      <c r="J9" s="2"/>
      <c r="K9" s="2"/>
      <c r="L9" s="2"/>
      <c r="M9" s="2"/>
      <c r="N9" s="2"/>
    </row>
    <row r="10" spans="1:14">
      <c r="A10" s="5"/>
      <c r="B10" s="34" t="s">
        <v>80</v>
      </c>
      <c r="C10" s="5"/>
      <c r="D10" s="8"/>
      <c r="E10" s="69">
        <f>SUM(E3:E9)</f>
        <v>10557</v>
      </c>
      <c r="F10" s="6">
        <f>SUM(F3:F9)</f>
        <v>10507.830804462486</v>
      </c>
      <c r="G10" s="6"/>
      <c r="H10" s="6"/>
      <c r="I10" s="5"/>
      <c r="J10" s="2"/>
      <c r="K10" s="2"/>
      <c r="L10" s="2"/>
      <c r="M10" s="2"/>
      <c r="N10" s="2"/>
    </row>
  </sheetData>
  <mergeCells count="1">
    <mergeCell ref="A1:I1"/>
  </mergeCells>
  <pageMargins left="1.1811023622047245" right="0.39370078740157483" top="1.1811023622047245" bottom="0.74803149606299213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2:Z31"/>
  <sheetViews>
    <sheetView tabSelected="1" view="pageBreakPreview" zoomScale="90" zoomScaleNormal="90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4" sqref="C14:E14"/>
    </sheetView>
  </sheetViews>
  <sheetFormatPr defaultRowHeight="15"/>
  <cols>
    <col min="1" max="1" width="4.42578125" style="31" customWidth="1"/>
    <col min="2" max="2" width="16.7109375" style="31" customWidth="1"/>
    <col min="3" max="3" width="9.28515625" style="31" bestFit="1" customWidth="1"/>
    <col min="4" max="4" width="14.140625" style="31" customWidth="1"/>
    <col min="5" max="5" width="14" style="31" customWidth="1"/>
    <col min="6" max="7" width="9.28515625" style="31" bestFit="1" customWidth="1"/>
    <col min="8" max="8" width="10.140625" style="31" customWidth="1"/>
    <col min="9" max="9" width="10.42578125" style="31" bestFit="1" customWidth="1"/>
    <col min="10" max="11" width="9.28515625" style="31" bestFit="1" customWidth="1"/>
    <col min="12" max="12" width="13.140625" style="31" customWidth="1"/>
    <col min="13" max="15" width="9.28515625" style="31" bestFit="1" customWidth="1"/>
    <col min="16" max="16" width="12.7109375" style="31" customWidth="1"/>
    <col min="17" max="17" width="11.5703125" style="31" bestFit="1" customWidth="1"/>
    <col min="18" max="18" width="10.42578125" style="31" bestFit="1" customWidth="1"/>
    <col min="19" max="19" width="9.28515625" style="31" bestFit="1" customWidth="1"/>
    <col min="20" max="20" width="10.42578125" style="31" bestFit="1" customWidth="1"/>
    <col min="21" max="21" width="8.85546875" style="31" customWidth="1"/>
    <col min="22" max="22" width="10.42578125" style="31" bestFit="1" customWidth="1"/>
    <col min="23" max="23" width="9.7109375" style="31" bestFit="1" customWidth="1"/>
    <col min="24" max="24" width="7.140625" style="31" customWidth="1"/>
    <col min="25" max="25" width="9.85546875" style="31" customWidth="1"/>
    <col min="26" max="26" width="9.28515625" style="31" bestFit="1" customWidth="1"/>
    <col min="27" max="16384" width="9.140625" style="31"/>
  </cols>
  <sheetData>
    <row r="2" spans="1:26">
      <c r="A2" s="107" t="s">
        <v>74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</row>
    <row r="3" spans="1:26">
      <c r="Z3" s="31" t="s">
        <v>105</v>
      </c>
    </row>
    <row r="4" spans="1:26" ht="213" customHeight="1">
      <c r="A4" s="86" t="s">
        <v>4</v>
      </c>
      <c r="B4" s="86" t="s">
        <v>5</v>
      </c>
      <c r="C4" s="89" t="s">
        <v>32</v>
      </c>
      <c r="D4" s="87" t="s">
        <v>94</v>
      </c>
      <c r="E4" s="87" t="s">
        <v>33</v>
      </c>
      <c r="F4" s="88" t="s">
        <v>34</v>
      </c>
      <c r="G4" s="89" t="s">
        <v>35</v>
      </c>
      <c r="H4" s="90" t="s">
        <v>71</v>
      </c>
      <c r="I4" s="90" t="s">
        <v>33</v>
      </c>
      <c r="J4" s="89" t="s">
        <v>36</v>
      </c>
      <c r="K4" s="89" t="s">
        <v>72</v>
      </c>
      <c r="L4" s="90" t="s">
        <v>95</v>
      </c>
      <c r="M4" s="90" t="s">
        <v>33</v>
      </c>
      <c r="N4" s="89" t="s">
        <v>37</v>
      </c>
      <c r="O4" s="89" t="s">
        <v>38</v>
      </c>
      <c r="P4" s="90" t="s">
        <v>96</v>
      </c>
      <c r="Q4" s="90" t="s">
        <v>33</v>
      </c>
      <c r="R4" s="89" t="s">
        <v>39</v>
      </c>
      <c r="S4" s="89" t="s">
        <v>40</v>
      </c>
      <c r="T4" s="89" t="s">
        <v>41</v>
      </c>
      <c r="U4" s="89" t="s">
        <v>42</v>
      </c>
      <c r="V4" s="89" t="s">
        <v>43</v>
      </c>
      <c r="W4" s="89" t="s">
        <v>14</v>
      </c>
      <c r="X4" s="88" t="s">
        <v>44</v>
      </c>
      <c r="Y4" s="97" t="s">
        <v>60</v>
      </c>
      <c r="Z4" s="88" t="s">
        <v>81</v>
      </c>
    </row>
    <row r="5" spans="1:26">
      <c r="A5" s="33">
        <v>1</v>
      </c>
      <c r="B5" s="26" t="s">
        <v>61</v>
      </c>
      <c r="C5" s="100">
        <v>209.9</v>
      </c>
      <c r="D5" s="76">
        <v>48054.67</v>
      </c>
      <c r="E5" s="33">
        <f>D12</f>
        <v>1372768.1800000002</v>
      </c>
      <c r="F5" s="35">
        <f>C5*(D5/E5)</f>
        <v>7.3476901489660094</v>
      </c>
      <c r="G5" s="58">
        <v>0</v>
      </c>
      <c r="H5" s="64"/>
      <c r="I5" s="55">
        <f>H12</f>
        <v>643</v>
      </c>
      <c r="J5" s="57">
        <f>G5*(H5/I5)</f>
        <v>0</v>
      </c>
      <c r="K5" s="34">
        <v>97.9</v>
      </c>
      <c r="L5" s="77">
        <v>44150</v>
      </c>
      <c r="M5" s="55">
        <f>L12</f>
        <v>1135015</v>
      </c>
      <c r="N5" s="57">
        <f>K5*(L5/M5)</f>
        <v>3.8081302890270177</v>
      </c>
      <c r="O5" s="34">
        <v>6400</v>
      </c>
      <c r="P5" s="91">
        <v>1010789</v>
      </c>
      <c r="Q5" s="55">
        <f>P12</f>
        <v>5543792</v>
      </c>
      <c r="R5" s="57">
        <f>O5*(P5/Q5)</f>
        <v>1166.8997682452734</v>
      </c>
      <c r="S5" s="55">
        <v>0</v>
      </c>
      <c r="T5" s="57">
        <f>F5+J5+N5+R5+S5</f>
        <v>1178.0555886832665</v>
      </c>
      <c r="U5" s="55">
        <v>767</v>
      </c>
      <c r="V5" s="57">
        <f>T12</f>
        <v>10878.803726164242</v>
      </c>
      <c r="W5" s="74">
        <f>U12</f>
        <v>10557</v>
      </c>
      <c r="X5" s="35">
        <f>(T5/U5)/(V5/W5)</f>
        <v>1.4904925175510151</v>
      </c>
      <c r="Y5" s="44">
        <f>((T5+ДОТАЦИЯ!H4)/'Расчет НП'!U5)/(('Расчет НП'!V5+ДОТАЦИЯ!C4)/'Расчет НП'!W5)</f>
        <v>0.77653411479475953</v>
      </c>
      <c r="Z5" s="78">
        <f>C5+G5+K5+O5</f>
        <v>6707.8</v>
      </c>
    </row>
    <row r="6" spans="1:26">
      <c r="A6" s="33">
        <v>2</v>
      </c>
      <c r="B6" s="26" t="s">
        <v>62</v>
      </c>
      <c r="C6" s="100">
        <v>60.7</v>
      </c>
      <c r="D6" s="76">
        <v>16078.51</v>
      </c>
      <c r="E6" s="33">
        <f>D12</f>
        <v>1372768.1800000002</v>
      </c>
      <c r="F6" s="35">
        <f t="shared" ref="F6:F10" si="0">C6*(D6/E6)</f>
        <v>0.71094710033270136</v>
      </c>
      <c r="G6" s="58">
        <v>1</v>
      </c>
      <c r="H6" s="64"/>
      <c r="I6" s="55">
        <f>H12</f>
        <v>643</v>
      </c>
      <c r="J6" s="57">
        <f>G6*(H6/I6)</f>
        <v>0</v>
      </c>
      <c r="K6" s="34">
        <v>28.5</v>
      </c>
      <c r="L6" s="77">
        <v>5922</v>
      </c>
      <c r="M6" s="55">
        <f>L12</f>
        <v>1135015</v>
      </c>
      <c r="N6" s="57">
        <f t="shared" ref="N6:N11" si="1">K6*(L6/M6)</f>
        <v>0.14870023744179592</v>
      </c>
      <c r="O6" s="34">
        <v>348</v>
      </c>
      <c r="P6" s="91">
        <v>120125</v>
      </c>
      <c r="Q6" s="55">
        <f>P12</f>
        <v>5543792</v>
      </c>
      <c r="R6" s="57">
        <f t="shared" ref="R6:R11" si="2">O6*(P6/Q6)</f>
        <v>7.5405967612060483</v>
      </c>
      <c r="S6" s="55">
        <v>0</v>
      </c>
      <c r="T6" s="57">
        <f t="shared" ref="T6:T11" si="3">F6+J6+N6+R6+S6</f>
        <v>8.4002440989805454</v>
      </c>
      <c r="U6" s="55">
        <v>432</v>
      </c>
      <c r="V6" s="57">
        <f>T12</f>
        <v>10878.803726164242</v>
      </c>
      <c r="W6" s="74">
        <f>U12</f>
        <v>10557</v>
      </c>
      <c r="X6" s="35">
        <f t="shared" ref="X6:X12" si="4">(T6/U6)/(V6/W6)</f>
        <v>1.8869810535796578E-2</v>
      </c>
      <c r="Y6" s="44">
        <f>((T6+ДОТАЦИЯ!H5)/'Расчет НП'!U6)/(('Расчет НП'!V6+ДОТАЦИЯ!C5)/'Расчет НП'!W6)</f>
        <v>2.899520718938339</v>
      </c>
      <c r="Z6" s="34">
        <f t="shared" ref="Z6:Z7" si="5">C6+G6+K6+O6</f>
        <v>438.2</v>
      </c>
    </row>
    <row r="7" spans="1:26">
      <c r="A7" s="33">
        <v>3</v>
      </c>
      <c r="B7" s="26" t="s">
        <v>63</v>
      </c>
      <c r="C7" s="100">
        <v>68.5</v>
      </c>
      <c r="D7" s="76">
        <v>21507.040000000001</v>
      </c>
      <c r="E7" s="33">
        <f>D12</f>
        <v>1372768.1800000002</v>
      </c>
      <c r="F7" s="35">
        <f t="shared" si="0"/>
        <v>1.0731835582028133</v>
      </c>
      <c r="G7" s="58">
        <v>9.1</v>
      </c>
      <c r="H7" s="64"/>
      <c r="I7" s="55">
        <f>H12</f>
        <v>643</v>
      </c>
      <c r="J7" s="57">
        <f t="shared" ref="J7:J11" si="6">G7*(H7/I7)</f>
        <v>0</v>
      </c>
      <c r="K7" s="34">
        <v>62.1</v>
      </c>
      <c r="L7" s="77">
        <v>10824</v>
      </c>
      <c r="M7" s="55">
        <f>L12</f>
        <v>1135015</v>
      </c>
      <c r="N7" s="57">
        <f t="shared" si="1"/>
        <v>0.59221279013933747</v>
      </c>
      <c r="O7" s="34">
        <v>995</v>
      </c>
      <c r="P7" s="91">
        <v>346631</v>
      </c>
      <c r="Q7" s="55">
        <f>P12</f>
        <v>5543792</v>
      </c>
      <c r="R7" s="57">
        <f t="shared" si="2"/>
        <v>62.213345125502542</v>
      </c>
      <c r="S7" s="55">
        <v>0</v>
      </c>
      <c r="T7" s="57">
        <f t="shared" si="3"/>
        <v>63.878741473844691</v>
      </c>
      <c r="U7" s="55">
        <v>501</v>
      </c>
      <c r="V7" s="57">
        <f>T12</f>
        <v>10878.803726164242</v>
      </c>
      <c r="W7" s="74">
        <f>U12</f>
        <v>10557</v>
      </c>
      <c r="X7" s="35">
        <f t="shared" si="4"/>
        <v>0.12373085258640304</v>
      </c>
      <c r="Y7" s="44">
        <f>((T7+ДОТАЦИЯ!H6)/'Расчет НП'!U7)/(('Расчет НП'!V7+ДОТАЦИЯ!C6)/'Расчет НП'!W7)</f>
        <v>3.9453242088156601</v>
      </c>
      <c r="Z7" s="34">
        <f t="shared" si="5"/>
        <v>1134.7</v>
      </c>
    </row>
    <row r="8" spans="1:26">
      <c r="A8" s="33">
        <v>4</v>
      </c>
      <c r="B8" s="26" t="s">
        <v>64</v>
      </c>
      <c r="C8" s="100">
        <v>421.2</v>
      </c>
      <c r="D8" s="76">
        <v>122766.63</v>
      </c>
      <c r="E8" s="33">
        <f>D12</f>
        <v>1372768.1800000002</v>
      </c>
      <c r="F8" s="35">
        <f t="shared" si="0"/>
        <v>37.667907305368921</v>
      </c>
      <c r="G8" s="58">
        <v>2.4</v>
      </c>
      <c r="H8" s="64"/>
      <c r="I8" s="55">
        <f>H12</f>
        <v>643</v>
      </c>
      <c r="J8" s="57">
        <f t="shared" si="6"/>
        <v>0</v>
      </c>
      <c r="K8" s="34">
        <v>982.3</v>
      </c>
      <c r="L8" s="77">
        <v>235527</v>
      </c>
      <c r="M8" s="55">
        <f>L12</f>
        <v>1135015</v>
      </c>
      <c r="N8" s="57">
        <f t="shared" si="1"/>
        <v>203.83710532459921</v>
      </c>
      <c r="O8" s="34">
        <v>4110</v>
      </c>
      <c r="P8" s="91">
        <v>679748</v>
      </c>
      <c r="Q8" s="55">
        <f>P12</f>
        <v>5543792</v>
      </c>
      <c r="R8" s="57">
        <f t="shared" si="2"/>
        <v>503.94464294475699</v>
      </c>
      <c r="S8" s="55">
        <v>0</v>
      </c>
      <c r="T8" s="57">
        <f t="shared" si="3"/>
        <v>745.44965557472506</v>
      </c>
      <c r="U8" s="55">
        <v>906</v>
      </c>
      <c r="V8" s="57">
        <f>T12</f>
        <v>10878.803726164242</v>
      </c>
      <c r="W8" s="74">
        <f>U12</f>
        <v>10557</v>
      </c>
      <c r="X8" s="35">
        <f t="shared" si="4"/>
        <v>0.79845326467235522</v>
      </c>
      <c r="Y8" s="44">
        <f>((T8+ДОТАЦИЯ!H7)/'Расчет НП'!U8)/(('Расчет НП'!V8+ДОТАЦИЯ!C7)/'Расчет НП'!W8)</f>
        <v>1.5788513552011159</v>
      </c>
      <c r="Z8" s="78">
        <f>C8+G8+K8+O8</f>
        <v>5515.9</v>
      </c>
    </row>
    <row r="9" spans="1:26">
      <c r="A9" s="33">
        <v>5</v>
      </c>
      <c r="B9" s="26" t="s">
        <v>65</v>
      </c>
      <c r="C9" s="100">
        <v>2916.9</v>
      </c>
      <c r="D9" s="76">
        <v>855072.56</v>
      </c>
      <c r="E9" s="33">
        <f>D12</f>
        <v>1372768.1800000002</v>
      </c>
      <c r="F9" s="35">
        <f t="shared" si="0"/>
        <v>1816.8844431286277</v>
      </c>
      <c r="G9" s="58">
        <v>0</v>
      </c>
      <c r="H9" s="64"/>
      <c r="I9" s="55">
        <f>H12</f>
        <v>643</v>
      </c>
      <c r="J9" s="57">
        <f t="shared" si="6"/>
        <v>0</v>
      </c>
      <c r="K9" s="34">
        <v>3515.1</v>
      </c>
      <c r="L9" s="77">
        <v>488094</v>
      </c>
      <c r="M9" s="55">
        <f>L12</f>
        <v>1135015</v>
      </c>
      <c r="N9" s="57">
        <f t="shared" si="1"/>
        <v>1511.6092909785332</v>
      </c>
      <c r="O9" s="34">
        <v>10971.3</v>
      </c>
      <c r="P9" s="91">
        <v>1620287</v>
      </c>
      <c r="Q9" s="55">
        <f>P12</f>
        <v>5543792</v>
      </c>
      <c r="R9" s="57">
        <f t="shared" si="2"/>
        <v>3206.5876142358875</v>
      </c>
      <c r="S9" s="55">
        <v>0</v>
      </c>
      <c r="T9" s="57">
        <f t="shared" si="3"/>
        <v>6535.0813483430484</v>
      </c>
      <c r="U9" s="55">
        <v>4776</v>
      </c>
      <c r="V9" s="57">
        <f>T12</f>
        <v>10878.803726164242</v>
      </c>
      <c r="W9" s="74">
        <f>U12</f>
        <v>10557</v>
      </c>
      <c r="X9" s="35">
        <f t="shared" si="4"/>
        <v>1.3278409565843399</v>
      </c>
      <c r="Y9" s="44">
        <f>((T9+ДОТАЦИЯ!H8)/'Расчет НП'!U9)/(('Расчет НП'!V9+ДОТАЦИЯ!C8)/'Расчет НП'!W9)</f>
        <v>0.73399695291029721</v>
      </c>
      <c r="Z9" s="34">
        <f>C9+G9+K9+O9</f>
        <v>17403.3</v>
      </c>
    </row>
    <row r="10" spans="1:26">
      <c r="A10" s="33">
        <v>6</v>
      </c>
      <c r="B10" s="26" t="s">
        <v>66</v>
      </c>
      <c r="C10" s="100">
        <v>921</v>
      </c>
      <c r="D10" s="76">
        <v>218990.45</v>
      </c>
      <c r="E10" s="33">
        <f>D12</f>
        <v>1372768.1800000002</v>
      </c>
      <c r="F10" s="35">
        <f t="shared" si="0"/>
        <v>146.92226071994179</v>
      </c>
      <c r="G10" s="58">
        <v>0</v>
      </c>
      <c r="H10" s="64"/>
      <c r="I10" s="55">
        <f>H12</f>
        <v>643</v>
      </c>
      <c r="J10" s="57">
        <f t="shared" si="6"/>
        <v>0</v>
      </c>
      <c r="K10" s="34">
        <v>689.4</v>
      </c>
      <c r="L10" s="77">
        <v>181390</v>
      </c>
      <c r="M10" s="55">
        <f>L12</f>
        <v>1135015</v>
      </c>
      <c r="N10" s="57">
        <f t="shared" si="1"/>
        <v>110.1749897578446</v>
      </c>
      <c r="O10" s="34">
        <v>7700</v>
      </c>
      <c r="P10" s="91">
        <v>948785</v>
      </c>
      <c r="Q10" s="55">
        <f>P12</f>
        <v>5543792</v>
      </c>
      <c r="R10" s="57">
        <f>O10*(P10/Q10)</f>
        <v>1317.8063859538743</v>
      </c>
      <c r="S10" s="55">
        <v>0</v>
      </c>
      <c r="T10" s="57">
        <f t="shared" si="3"/>
        <v>1574.9036364316607</v>
      </c>
      <c r="U10" s="55">
        <v>1255</v>
      </c>
      <c r="V10" s="57">
        <f>T12</f>
        <v>10878.803726164242</v>
      </c>
      <c r="W10" s="74">
        <f>U12</f>
        <v>10557</v>
      </c>
      <c r="X10" s="35">
        <f t="shared" si="4"/>
        <v>1.2177822515175105</v>
      </c>
      <c r="Y10" s="44">
        <f>((T10+ДОТАЦИЯ!H9)/'Расчет НП'!U10)/(('Расчет НП'!V10+ДОТАЦИЯ!C9)/'Расчет НП'!W10)</f>
        <v>0.38152432975106654</v>
      </c>
      <c r="Z10" s="34">
        <f>C10+G10+K10+O10</f>
        <v>9310.4</v>
      </c>
    </row>
    <row r="11" spans="1:26">
      <c r="A11" s="33">
        <v>7</v>
      </c>
      <c r="B11" s="26" t="s">
        <v>67</v>
      </c>
      <c r="C11" s="100">
        <v>391.7</v>
      </c>
      <c r="D11" s="76">
        <v>90298.32</v>
      </c>
      <c r="E11" s="33">
        <f>D12</f>
        <v>1372768.1800000002</v>
      </c>
      <c r="F11" s="35">
        <f>C11*(D11/E11)</f>
        <v>25.76534950278349</v>
      </c>
      <c r="G11" s="58">
        <v>0</v>
      </c>
      <c r="H11" s="64"/>
      <c r="I11" s="55">
        <f>H12</f>
        <v>643</v>
      </c>
      <c r="J11" s="57">
        <f t="shared" si="6"/>
        <v>0</v>
      </c>
      <c r="K11" s="34">
        <v>562.1</v>
      </c>
      <c r="L11" s="77">
        <v>169108</v>
      </c>
      <c r="M11" s="55">
        <f>L12</f>
        <v>1135015</v>
      </c>
      <c r="N11" s="57">
        <f t="shared" si="1"/>
        <v>83.748326497887689</v>
      </c>
      <c r="O11" s="34">
        <v>4500</v>
      </c>
      <c r="P11" s="91">
        <v>817427</v>
      </c>
      <c r="Q11" s="55">
        <f>P12</f>
        <v>5543792</v>
      </c>
      <c r="R11" s="57">
        <f t="shared" si="2"/>
        <v>663.52083555804404</v>
      </c>
      <c r="S11" s="55">
        <v>0</v>
      </c>
      <c r="T11" s="57">
        <f t="shared" si="3"/>
        <v>773.03451155871517</v>
      </c>
      <c r="U11" s="55">
        <v>1920</v>
      </c>
      <c r="V11" s="57">
        <f>T12</f>
        <v>10878.803726164242</v>
      </c>
      <c r="W11" s="74">
        <f>U12</f>
        <v>10557</v>
      </c>
      <c r="X11" s="35">
        <f t="shared" si="4"/>
        <v>0.39071225606598026</v>
      </c>
      <c r="Y11" s="44">
        <f>((T11+ДОТАЦИЯ!H10)/'Расчет НП'!U11)/(('Расчет НП'!V11+ДОТАЦИЯ!C10)/'Расчет НП'!W11)</f>
        <v>1.3701780474334655</v>
      </c>
      <c r="Z11" s="34">
        <f>C11+G11+K11+O11</f>
        <v>5453.8</v>
      </c>
    </row>
    <row r="12" spans="1:26">
      <c r="A12" s="33"/>
      <c r="B12" s="33" t="s">
        <v>80</v>
      </c>
      <c r="C12" s="63">
        <f>SUM(C5:C11)</f>
        <v>4989.8999999999996</v>
      </c>
      <c r="D12" s="33">
        <f>SUM(D5:D11)</f>
        <v>1372768.1800000002</v>
      </c>
      <c r="E12" s="33"/>
      <c r="F12" s="33"/>
      <c r="G12" s="55"/>
      <c r="H12" s="55">
        <v>643</v>
      </c>
      <c r="I12" s="55"/>
      <c r="J12" s="55"/>
      <c r="K12" s="55">
        <f>SUM(K5:K11)</f>
        <v>5937.4</v>
      </c>
      <c r="L12" s="55">
        <f>SUM(L5:L11)</f>
        <v>1135015</v>
      </c>
      <c r="M12" s="55"/>
      <c r="N12" s="55"/>
      <c r="O12" s="55">
        <f>SUM(O5:O11)</f>
        <v>35024.300000000003</v>
      </c>
      <c r="P12" s="55">
        <f>SUM(P5:P11)</f>
        <v>5543792</v>
      </c>
      <c r="Q12" s="55"/>
      <c r="R12" s="57"/>
      <c r="S12" s="58"/>
      <c r="T12" s="75">
        <f>SUM(T5:T11)</f>
        <v>10878.803726164242</v>
      </c>
      <c r="U12" s="85">
        <f>SUM(U5:U11)</f>
        <v>10557</v>
      </c>
      <c r="V12" s="75">
        <f>SUM(V5:V11)</f>
        <v>76151.626083149706</v>
      </c>
      <c r="W12" s="55">
        <v>10557</v>
      </c>
      <c r="X12" s="35">
        <f t="shared" si="4"/>
        <v>0.14285714285714285</v>
      </c>
      <c r="Y12" s="44">
        <f>((T12+ДОТАЦИЯ!H11)/'Расчет НП'!U12)/(('Расчет НП'!V12+ДОТАЦИЯ!C11)/'Расчет НП'!W12)</f>
        <v>0.51271135935472278</v>
      </c>
      <c r="Z12" s="78">
        <f>SUM(Z5:Z11)</f>
        <v>45964.100000000006</v>
      </c>
    </row>
    <row r="17" spans="7:16">
      <c r="G17" s="40"/>
      <c r="H17" s="40"/>
      <c r="I17" s="40"/>
      <c r="J17" s="40"/>
      <c r="K17" s="40"/>
      <c r="L17" s="40"/>
      <c r="M17" s="40"/>
      <c r="N17" s="40"/>
      <c r="O17" s="40"/>
      <c r="P17" s="40"/>
    </row>
    <row r="18" spans="7:16"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7:16"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7:16"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7:16">
      <c r="G21" s="40"/>
      <c r="H21" s="40"/>
      <c r="I21" s="40"/>
      <c r="J21" s="40"/>
      <c r="K21" s="40"/>
      <c r="L21" s="40"/>
      <c r="M21" s="40"/>
      <c r="N21" s="40"/>
      <c r="O21" s="40"/>
      <c r="P21" s="36"/>
    </row>
    <row r="22" spans="7:16">
      <c r="G22" s="40"/>
      <c r="H22" s="40"/>
      <c r="I22" s="40"/>
      <c r="J22" s="40"/>
      <c r="K22" s="40"/>
      <c r="L22" s="40"/>
      <c r="M22" s="40"/>
      <c r="N22" s="40"/>
      <c r="O22" s="40"/>
      <c r="P22" s="36"/>
    </row>
    <row r="23" spans="7:16">
      <c r="G23" s="40"/>
      <c r="H23" s="40"/>
      <c r="I23" s="40"/>
      <c r="J23" s="40"/>
      <c r="K23" s="40"/>
      <c r="L23" s="40"/>
      <c r="M23" s="40"/>
      <c r="N23" s="40"/>
      <c r="O23" s="40"/>
      <c r="P23" s="36"/>
    </row>
    <row r="24" spans="7:16">
      <c r="G24" s="40"/>
      <c r="H24" s="40"/>
      <c r="I24" s="40"/>
      <c r="J24" s="40"/>
      <c r="K24" s="40"/>
      <c r="L24" s="40"/>
      <c r="M24" s="40"/>
      <c r="N24" s="40"/>
      <c r="O24" s="40"/>
      <c r="P24" s="36"/>
    </row>
    <row r="25" spans="7:16">
      <c r="G25" s="40"/>
      <c r="H25" s="40"/>
      <c r="I25" s="40"/>
      <c r="J25" s="40"/>
      <c r="K25" s="40"/>
      <c r="L25" s="40"/>
      <c r="M25" s="40"/>
      <c r="N25" s="40"/>
      <c r="O25" s="40"/>
      <c r="P25" s="36"/>
    </row>
    <row r="26" spans="7:16">
      <c r="G26" s="40"/>
      <c r="H26" s="40"/>
      <c r="I26" s="40"/>
      <c r="J26" s="40"/>
      <c r="K26" s="40"/>
      <c r="L26" s="40"/>
      <c r="M26" s="40"/>
      <c r="N26" s="40"/>
      <c r="O26" s="40"/>
      <c r="P26" s="36"/>
    </row>
    <row r="27" spans="7:16">
      <c r="G27" s="40"/>
      <c r="H27" s="40"/>
      <c r="I27" s="40"/>
      <c r="J27" s="40"/>
      <c r="K27" s="40"/>
      <c r="L27" s="40"/>
      <c r="M27" s="40"/>
      <c r="N27" s="40"/>
      <c r="O27" s="40"/>
      <c r="P27" s="36"/>
    </row>
    <row r="28" spans="7:16">
      <c r="G28" s="40"/>
      <c r="H28" s="40"/>
      <c r="I28" s="40"/>
      <c r="J28" s="40"/>
      <c r="K28" s="40"/>
      <c r="L28" s="40"/>
      <c r="M28" s="40"/>
      <c r="N28" s="40"/>
      <c r="O28" s="40"/>
      <c r="P28" s="40"/>
    </row>
    <row r="29" spans="7:16">
      <c r="G29" s="40"/>
      <c r="H29" s="40"/>
      <c r="I29" s="40"/>
      <c r="J29" s="40"/>
      <c r="K29" s="40"/>
      <c r="L29" s="40"/>
      <c r="M29" s="40"/>
      <c r="N29" s="40"/>
      <c r="O29" s="40"/>
      <c r="P29" s="40"/>
    </row>
    <row r="30" spans="7:16">
      <c r="G30" s="40"/>
      <c r="H30" s="40"/>
      <c r="I30" s="40"/>
      <c r="J30" s="40"/>
      <c r="K30" s="40"/>
      <c r="L30" s="40"/>
      <c r="M30" s="40"/>
      <c r="N30" s="40"/>
      <c r="O30" s="40"/>
      <c r="P30" s="40"/>
    </row>
    <row r="31" spans="7:16">
      <c r="G31" s="40"/>
      <c r="H31" s="40"/>
      <c r="I31" s="40"/>
      <c r="J31" s="40"/>
      <c r="K31" s="40"/>
      <c r="L31" s="40"/>
      <c r="M31" s="40"/>
      <c r="N31" s="40"/>
      <c r="O31" s="40"/>
      <c r="P31" s="40"/>
    </row>
  </sheetData>
  <mergeCells count="1">
    <mergeCell ref="A2:X2"/>
  </mergeCells>
  <pageMargins left="0.70866141732283472" right="0.70866141732283472" top="1.5748031496062993" bottom="0.74803149606299213" header="0.31496062992125984" footer="0.31496062992125984"/>
  <pageSetup paperSize="9" scale="4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F11"/>
    </sheetView>
  </sheetViews>
  <sheetFormatPr defaultRowHeight="15"/>
  <cols>
    <col min="1" max="1" width="7.140625" customWidth="1"/>
    <col min="2" max="2" width="28.5703125" customWidth="1"/>
    <col min="3" max="3" width="11" customWidth="1"/>
    <col min="4" max="4" width="11.5703125" customWidth="1"/>
    <col min="5" max="5" width="10.28515625" customWidth="1"/>
  </cols>
  <sheetData>
    <row r="1" spans="1:9">
      <c r="A1" s="110" t="s">
        <v>56</v>
      </c>
      <c r="B1" s="110"/>
      <c r="C1" s="110"/>
      <c r="D1" s="110"/>
      <c r="E1" s="110"/>
    </row>
    <row r="3" spans="1:9">
      <c r="A3" s="1" t="s">
        <v>4</v>
      </c>
      <c r="B3" s="1" t="s">
        <v>5</v>
      </c>
      <c r="C3" s="12" t="s">
        <v>44</v>
      </c>
      <c r="D3" s="12" t="s">
        <v>26</v>
      </c>
      <c r="E3" s="12" t="s">
        <v>45</v>
      </c>
      <c r="F3" s="12" t="s">
        <v>68</v>
      </c>
    </row>
    <row r="4" spans="1:9">
      <c r="A4" s="5">
        <v>1</v>
      </c>
      <c r="B4" s="26" t="s">
        <v>61</v>
      </c>
      <c r="C4" s="13">
        <f>'Расчет НП'!X5</f>
        <v>1.4904925175510151</v>
      </c>
      <c r="D4" s="13">
        <f>'Расчет ИБР'!I3</f>
        <v>0.96335120985957168</v>
      </c>
      <c r="E4" s="37">
        <f>C4/D4</f>
        <v>1.5471953554387348</v>
      </c>
      <c r="F4" s="43">
        <f>RANK(E4,E4:E10)</f>
        <v>2</v>
      </c>
      <c r="I4" s="42"/>
    </row>
    <row r="5" spans="1:9">
      <c r="A5" s="5">
        <v>2</v>
      </c>
      <c r="B5" s="26" t="s">
        <v>62</v>
      </c>
      <c r="C5" s="13">
        <f>'Расчет НП'!X6</f>
        <v>1.8869810535796578E-2</v>
      </c>
      <c r="D5" s="13">
        <f>'Расчет ИБР'!I4</f>
        <v>1.4984621430047202</v>
      </c>
      <c r="E5" s="37">
        <f t="shared" ref="E5:E9" si="0">C5/D5</f>
        <v>1.2592784291472845E-2</v>
      </c>
      <c r="F5" s="43">
        <f>RANK(E5,E4:E10)</f>
        <v>7</v>
      </c>
    </row>
    <row r="6" spans="1:9">
      <c r="A6" s="5">
        <v>3</v>
      </c>
      <c r="B6" s="26" t="s">
        <v>63</v>
      </c>
      <c r="C6" s="13">
        <f>'Расчет НП'!X7</f>
        <v>0.12373085258640304</v>
      </c>
      <c r="D6" s="13">
        <f>'Расчет ИБР'!I5</f>
        <v>2.0698103594866017</v>
      </c>
      <c r="E6" s="37">
        <f t="shared" si="0"/>
        <v>5.9778835302135305E-2</v>
      </c>
      <c r="F6" s="12">
        <f>RANK(E6,E4:E10)</f>
        <v>6</v>
      </c>
    </row>
    <row r="7" spans="1:9">
      <c r="A7" s="5">
        <v>4</v>
      </c>
      <c r="B7" s="26" t="s">
        <v>64</v>
      </c>
      <c r="C7" s="13">
        <f>'Расчет НП'!X8</f>
        <v>0.79845326467235522</v>
      </c>
      <c r="D7" s="13">
        <f>'Расчет ИБР'!I6</f>
        <v>1.161861341382048</v>
      </c>
      <c r="E7" s="37">
        <f t="shared" si="0"/>
        <v>0.68721906498979091</v>
      </c>
      <c r="F7" s="12">
        <f>RANK(E7,E4:E10)</f>
        <v>4</v>
      </c>
    </row>
    <row r="8" spans="1:9">
      <c r="A8" s="5">
        <v>5</v>
      </c>
      <c r="B8" s="26" t="s">
        <v>65</v>
      </c>
      <c r="C8" s="13">
        <f>'Расчет НП'!X9</f>
        <v>1.3278409565843399</v>
      </c>
      <c r="D8" s="13">
        <f>'Расчет ИБР'!I7</f>
        <v>0.95630259611428148</v>
      </c>
      <c r="E8" s="37">
        <f t="shared" si="0"/>
        <v>1.3885154782384992</v>
      </c>
      <c r="F8" s="12">
        <f>RANK(E8,E4:E10)</f>
        <v>3</v>
      </c>
    </row>
    <row r="9" spans="1:9">
      <c r="A9" s="5">
        <v>6</v>
      </c>
      <c r="B9" s="26" t="s">
        <v>66</v>
      </c>
      <c r="C9" s="13">
        <f>'Расчет НП'!X10</f>
        <v>1.2177822515175105</v>
      </c>
      <c r="D9" s="13">
        <f>'Расчет ИБР'!I8</f>
        <v>0.6795684472399931</v>
      </c>
      <c r="E9" s="37">
        <f t="shared" si="0"/>
        <v>1.791993516566911</v>
      </c>
      <c r="F9" s="12">
        <f>RANK(E9,E4:E10)</f>
        <v>1</v>
      </c>
    </row>
    <row r="10" spans="1:9">
      <c r="A10" s="5">
        <v>7</v>
      </c>
      <c r="B10" s="26" t="s">
        <v>67</v>
      </c>
      <c r="C10" s="13">
        <f>'Расчет НП'!X11</f>
        <v>0.39071225606598026</v>
      </c>
      <c r="D10" s="13">
        <f>'Расчет ИБР'!I9</f>
        <v>0.86510052632122203</v>
      </c>
      <c r="E10" s="37">
        <f>C10/D10</f>
        <v>0.45163798215157275</v>
      </c>
      <c r="F10" s="12">
        <f>RANK(E10,E4:E10)</f>
        <v>5</v>
      </c>
    </row>
    <row r="11" spans="1:9">
      <c r="A11" s="12"/>
      <c r="B11" s="12" t="s">
        <v>80</v>
      </c>
      <c r="C11" s="12"/>
      <c r="D11" s="12"/>
      <c r="E11" s="13">
        <f>SUM(E4:E10)</f>
        <v>5.9389330169791164</v>
      </c>
      <c r="F11" s="12"/>
    </row>
  </sheetData>
  <mergeCells count="1">
    <mergeCell ref="A1:E1"/>
  </mergeCells>
  <pageMargins left="1.1811023622047245" right="0.39370078740157483" top="0.74803149606299213" bottom="0.74803149606299213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workbookViewId="0">
      <selection activeCell="J16" sqref="J16:J18"/>
    </sheetView>
  </sheetViews>
  <sheetFormatPr defaultRowHeight="15"/>
  <cols>
    <col min="1" max="1" width="4.7109375" customWidth="1"/>
    <col min="2" max="2" width="16.28515625" customWidth="1"/>
    <col min="3" max="3" width="11.5703125" customWidth="1"/>
    <col min="4" max="4" width="13.42578125" customWidth="1"/>
    <col min="5" max="5" width="13.85546875" customWidth="1"/>
    <col min="6" max="6" width="12.42578125" customWidth="1"/>
    <col min="7" max="7" width="12.140625" customWidth="1"/>
    <col min="8" max="8" width="13.42578125" customWidth="1"/>
    <col min="9" max="9" width="18.140625" customWidth="1"/>
  </cols>
  <sheetData>
    <row r="1" spans="1:9">
      <c r="B1" s="111" t="s">
        <v>75</v>
      </c>
      <c r="C1" s="111"/>
      <c r="D1" s="111"/>
      <c r="E1" s="111"/>
      <c r="F1" s="111"/>
      <c r="G1" s="111"/>
      <c r="H1" s="111"/>
      <c r="I1" s="111"/>
    </row>
    <row r="2" spans="1:9" ht="90">
      <c r="A2" s="1" t="s">
        <v>4</v>
      </c>
      <c r="B2" s="1" t="s">
        <v>5</v>
      </c>
      <c r="C2" s="14" t="s">
        <v>46</v>
      </c>
      <c r="D2" s="14" t="s">
        <v>14</v>
      </c>
      <c r="E2" s="25" t="s">
        <v>47</v>
      </c>
      <c r="F2" s="25" t="s">
        <v>48</v>
      </c>
      <c r="G2" s="25" t="s">
        <v>49</v>
      </c>
      <c r="H2" s="25" t="s">
        <v>50</v>
      </c>
      <c r="I2" s="25" t="s">
        <v>51</v>
      </c>
    </row>
    <row r="3" spans="1:9">
      <c r="A3" s="5">
        <v>1</v>
      </c>
      <c r="B3" s="26" t="s">
        <v>61</v>
      </c>
      <c r="C3" s="23">
        <f>'Расчет ФФП'!A9</f>
        <v>45964.1</v>
      </c>
      <c r="D3" s="5">
        <f>'Расчет К удорожания'!G12</f>
        <v>10557</v>
      </c>
      <c r="E3" s="6">
        <f>'Расчет ФФП'!C9</f>
        <v>1.756</v>
      </c>
      <c r="F3" s="38">
        <f>'Расчет БО'!E4</f>
        <v>1.5471953554387348</v>
      </c>
      <c r="G3" s="6">
        <f>'Расчет ИБР'!I3</f>
        <v>0.96335120985957168</v>
      </c>
      <c r="H3" s="55">
        <v>767</v>
      </c>
      <c r="I3" s="29">
        <f>(C3/D3)*(E3-F3)*G3*H3</f>
        <v>671.73566161625149</v>
      </c>
    </row>
    <row r="4" spans="1:9">
      <c r="A4" s="5">
        <v>2</v>
      </c>
      <c r="B4" s="26" t="s">
        <v>62</v>
      </c>
      <c r="C4" s="23">
        <f>C3</f>
        <v>45964.1</v>
      </c>
      <c r="D4" s="5">
        <f>D3</f>
        <v>10557</v>
      </c>
      <c r="E4" s="6">
        <f>E3</f>
        <v>1.756</v>
      </c>
      <c r="F4" s="38">
        <f>'Расчет БО'!E5</f>
        <v>1.2592784291472845E-2</v>
      </c>
      <c r="G4" s="6">
        <f>'Расчет ИБР'!I4</f>
        <v>1.4984621430047202</v>
      </c>
      <c r="H4" s="55">
        <v>432</v>
      </c>
      <c r="I4" s="29">
        <f t="shared" ref="I4:I8" si="0">(C4/D4)*(E4-F4)*G4*H4</f>
        <v>4913.676953535386</v>
      </c>
    </row>
    <row r="5" spans="1:9">
      <c r="A5" s="5">
        <v>3</v>
      </c>
      <c r="B5" s="26" t="s">
        <v>63</v>
      </c>
      <c r="C5" s="23">
        <f>C3</f>
        <v>45964.1</v>
      </c>
      <c r="D5" s="5">
        <f>D3</f>
        <v>10557</v>
      </c>
      <c r="E5" s="6">
        <f>E3</f>
        <v>1.756</v>
      </c>
      <c r="F5" s="38">
        <f>'Расчет БО'!E6</f>
        <v>5.9778835302135305E-2</v>
      </c>
      <c r="G5" s="6">
        <f>'Расчет ИБР'!I5</f>
        <v>2.0698103594866017</v>
      </c>
      <c r="H5" s="55">
        <v>501</v>
      </c>
      <c r="I5" s="29">
        <f t="shared" si="0"/>
        <v>7658.2404721428393</v>
      </c>
    </row>
    <row r="6" spans="1:9">
      <c r="A6" s="5">
        <v>4</v>
      </c>
      <c r="B6" s="26" t="s">
        <v>64</v>
      </c>
      <c r="C6" s="23">
        <f>C3</f>
        <v>45964.1</v>
      </c>
      <c r="D6" s="5">
        <f>D3</f>
        <v>10557</v>
      </c>
      <c r="E6" s="6">
        <f>E3</f>
        <v>1.756</v>
      </c>
      <c r="F6" s="38">
        <f>'Расчет БО'!E7</f>
        <v>0.68721906498979091</v>
      </c>
      <c r="G6" s="6">
        <f>'Расчет ИБР'!I6</f>
        <v>1.161861341382048</v>
      </c>
      <c r="H6" s="55">
        <v>906</v>
      </c>
      <c r="I6" s="29">
        <f t="shared" si="0"/>
        <v>4898.3457530899177</v>
      </c>
    </row>
    <row r="7" spans="1:9">
      <c r="A7" s="5">
        <v>5</v>
      </c>
      <c r="B7" s="26" t="s">
        <v>65</v>
      </c>
      <c r="C7" s="23">
        <f>C3</f>
        <v>45964.1</v>
      </c>
      <c r="D7" s="5">
        <f>D3</f>
        <v>10557</v>
      </c>
      <c r="E7" s="6">
        <f>E3</f>
        <v>1.756</v>
      </c>
      <c r="F7" s="38">
        <f>'Расчет БО'!E8</f>
        <v>1.3885154782384992</v>
      </c>
      <c r="G7" s="6">
        <f>'Расчет ИБР'!I7</f>
        <v>0.95630259611428148</v>
      </c>
      <c r="H7" s="55">
        <v>4776</v>
      </c>
      <c r="I7" s="29">
        <f t="shared" si="0"/>
        <v>7307.6366247428541</v>
      </c>
    </row>
    <row r="8" spans="1:9">
      <c r="A8" s="5">
        <v>6</v>
      </c>
      <c r="B8" s="26" t="s">
        <v>66</v>
      </c>
      <c r="C8" s="23">
        <f>C3</f>
        <v>45964.1</v>
      </c>
      <c r="D8" s="5">
        <f>D3</f>
        <v>10557</v>
      </c>
      <c r="E8" s="6">
        <f>E3</f>
        <v>1.756</v>
      </c>
      <c r="F8" s="38">
        <f>'Расчет БО'!E9</f>
        <v>1.791993516566911</v>
      </c>
      <c r="G8" s="6">
        <f>'Расчет ИБР'!I8</f>
        <v>0.6795684472399931</v>
      </c>
      <c r="H8" s="55">
        <v>1255</v>
      </c>
      <c r="I8" s="29">
        <f t="shared" si="0"/>
        <v>-133.65322744358602</v>
      </c>
    </row>
    <row r="9" spans="1:9">
      <c r="A9" s="5">
        <v>7</v>
      </c>
      <c r="B9" s="26" t="s">
        <v>67</v>
      </c>
      <c r="C9" s="23">
        <f>C3</f>
        <v>45964.1</v>
      </c>
      <c r="D9" s="5">
        <f>D3</f>
        <v>10557</v>
      </c>
      <c r="E9" s="6">
        <f>E3</f>
        <v>1.756</v>
      </c>
      <c r="F9" s="38">
        <f>'Расчет БО'!E10</f>
        <v>0.45163798215157275</v>
      </c>
      <c r="G9" s="6">
        <f>'Расчет ИБР'!I9</f>
        <v>0.86510052632122203</v>
      </c>
      <c r="H9" s="55">
        <v>1920</v>
      </c>
      <c r="I9" s="29">
        <f>(C9/D9)*(E9-F9)*G9*H9</f>
        <v>9432.8773623163306</v>
      </c>
    </row>
    <row r="10" spans="1:9">
      <c r="I10" s="19"/>
    </row>
    <row r="11" spans="1:9">
      <c r="E11" s="82"/>
      <c r="I11" s="19"/>
    </row>
    <row r="12" spans="1:9">
      <c r="E12" s="42"/>
    </row>
    <row r="13" spans="1:9">
      <c r="E13" s="42"/>
    </row>
    <row r="14" spans="1:9">
      <c r="E14" s="42"/>
    </row>
    <row r="15" spans="1:9">
      <c r="E15" s="42"/>
    </row>
    <row r="16" spans="1:9">
      <c r="E16" s="42"/>
    </row>
    <row r="17" spans="5:5">
      <c r="E17" s="42"/>
    </row>
  </sheetData>
  <mergeCells count="1">
    <mergeCell ref="B1:I1"/>
  </mergeCells>
  <pageMargins left="0.70866141732283472" right="0.70866141732283472" top="1.1811023622047245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92"/>
  <sheetViews>
    <sheetView zoomScale="80" zoomScaleNormal="80" workbookViewId="0">
      <selection activeCell="C17" sqref="C17:C23"/>
    </sheetView>
  </sheetViews>
  <sheetFormatPr defaultRowHeight="15"/>
  <cols>
    <col min="1" max="1" width="5.42578125" customWidth="1"/>
    <col min="2" max="2" width="16.7109375" customWidth="1"/>
    <col min="3" max="3" width="9.140625" customWidth="1"/>
    <col min="4" max="4" width="12.28515625" customWidth="1"/>
    <col min="5" max="5" width="10.140625" customWidth="1"/>
    <col min="6" max="6" width="12.85546875" customWidth="1"/>
    <col min="7" max="7" width="9.7109375" customWidth="1"/>
    <col min="8" max="8" width="10.85546875" customWidth="1"/>
    <col min="9" max="9" width="9" style="28" customWidth="1"/>
    <col min="10" max="10" width="9.140625" customWidth="1"/>
    <col min="11" max="11" width="10.7109375" style="28" customWidth="1"/>
    <col min="12" max="13" width="10.140625" customWidth="1"/>
    <col min="14" max="14" width="8.28515625" customWidth="1"/>
    <col min="15" max="15" width="9.7109375" customWidth="1"/>
    <col min="16" max="16" width="9.85546875" customWidth="1"/>
    <col min="17" max="17" width="10.42578125" customWidth="1"/>
    <col min="18" max="18" width="10" customWidth="1"/>
    <col min="19" max="19" width="12.42578125" bestFit="1" customWidth="1"/>
  </cols>
  <sheetData>
    <row r="1" spans="1:22" ht="15" customHeight="1">
      <c r="A1" s="106" t="s">
        <v>100</v>
      </c>
      <c r="B1" s="106"/>
      <c r="C1" s="106"/>
      <c r="D1" s="106"/>
      <c r="E1" s="106"/>
      <c r="F1" s="106"/>
      <c r="G1" s="106"/>
      <c r="H1" s="106"/>
      <c r="I1" s="106"/>
      <c r="J1" s="15"/>
      <c r="K1" s="15"/>
      <c r="L1" s="15"/>
      <c r="M1" s="15"/>
      <c r="N1" s="15"/>
      <c r="O1" s="15"/>
      <c r="P1" s="15"/>
    </row>
    <row r="2" spans="1:22">
      <c r="A2" s="7"/>
      <c r="B2" s="7"/>
      <c r="C2" s="7"/>
      <c r="D2" s="7"/>
      <c r="E2" s="7"/>
      <c r="F2" s="7"/>
      <c r="G2" s="7"/>
      <c r="H2" s="7"/>
      <c r="I2" s="7"/>
      <c r="J2" s="15"/>
      <c r="K2" s="15"/>
      <c r="L2" s="15"/>
      <c r="M2" s="15"/>
      <c r="N2" s="15"/>
      <c r="O2" s="15"/>
      <c r="P2" s="15"/>
      <c r="Q2" t="s">
        <v>105</v>
      </c>
      <c r="R2" s="21"/>
    </row>
    <row r="3" spans="1:22" ht="160.5" customHeight="1">
      <c r="A3" s="4" t="s">
        <v>4</v>
      </c>
      <c r="B3" s="4" t="s">
        <v>5</v>
      </c>
      <c r="C3" s="8" t="s">
        <v>52</v>
      </c>
      <c r="D3" s="25" t="s">
        <v>51</v>
      </c>
      <c r="E3" s="25" t="s">
        <v>53</v>
      </c>
      <c r="F3" s="25" t="s">
        <v>104</v>
      </c>
      <c r="G3" s="25" t="s">
        <v>88</v>
      </c>
      <c r="H3" s="25" t="s">
        <v>57</v>
      </c>
      <c r="I3" s="25" t="s">
        <v>110</v>
      </c>
      <c r="J3" s="25" t="s">
        <v>58</v>
      </c>
      <c r="K3" s="25" t="s">
        <v>108</v>
      </c>
      <c r="L3" s="8" t="s">
        <v>60</v>
      </c>
      <c r="M3" s="25" t="s">
        <v>109</v>
      </c>
      <c r="N3" s="25" t="s">
        <v>58</v>
      </c>
      <c r="O3" s="5" t="s">
        <v>87</v>
      </c>
      <c r="P3" s="5" t="s">
        <v>106</v>
      </c>
      <c r="Q3" s="5" t="s">
        <v>107</v>
      </c>
      <c r="S3" s="53"/>
    </row>
    <row r="4" spans="1:22">
      <c r="A4" s="8">
        <v>1</v>
      </c>
      <c r="B4" s="67" t="s">
        <v>61</v>
      </c>
      <c r="C4" s="62">
        <f>'Расчет ФФП'!B9</f>
        <v>23845.1</v>
      </c>
      <c r="D4" s="62">
        <f>'Расчет Тн'!I3</f>
        <v>671.73566161625149</v>
      </c>
      <c r="E4" s="62">
        <f>D11</f>
        <v>34882.512827443577</v>
      </c>
      <c r="F4" s="61"/>
      <c r="G4" s="12">
        <v>321.8</v>
      </c>
      <c r="H4" s="84">
        <f>C4*D4/E4+F4+G4</f>
        <v>780.98721807804907</v>
      </c>
      <c r="I4" s="38">
        <f>'Расчет БО'!E4</f>
        <v>1.5471953554387348</v>
      </c>
      <c r="J4" s="8">
        <f>RANK(I4,I4:I10)</f>
        <v>2</v>
      </c>
      <c r="K4" s="70">
        <f>1717.7</f>
        <v>1717.7</v>
      </c>
      <c r="L4" s="37">
        <f>'Расчет НП'!Y5</f>
        <v>0.77653411479475953</v>
      </c>
      <c r="M4" s="39">
        <f>L4/'Расчет ИБР'!I3</f>
        <v>0.80607581829679276</v>
      </c>
      <c r="N4" s="24">
        <f>RANK(M4,M4:M10)</f>
        <v>5</v>
      </c>
      <c r="O4" s="70">
        <f>1717.7</f>
        <v>1717.7</v>
      </c>
      <c r="P4" s="70">
        <v>1438.5</v>
      </c>
      <c r="Q4" s="70">
        <v>1438.5</v>
      </c>
      <c r="S4" s="53"/>
    </row>
    <row r="5" spans="1:22">
      <c r="A5" s="8">
        <v>2</v>
      </c>
      <c r="B5" s="67" t="s">
        <v>62</v>
      </c>
      <c r="C5" s="62">
        <f>C4</f>
        <v>23845.1</v>
      </c>
      <c r="D5" s="62">
        <f>'Расчет Тн'!I4</f>
        <v>4913.676953535386</v>
      </c>
      <c r="E5" s="62">
        <f>D11</f>
        <v>34882.512827443577</v>
      </c>
      <c r="F5" s="61"/>
      <c r="G5" s="12">
        <v>752.7</v>
      </c>
      <c r="H5" s="84">
        <f t="shared" ref="H5:H10" si="0">C5*D5/E5+F5+G5</f>
        <v>4111.6070519187542</v>
      </c>
      <c r="I5" s="38">
        <f>'Расчет БО'!E5</f>
        <v>1.2592784291472845E-2</v>
      </c>
      <c r="J5" s="8">
        <f>RANK(I5,I4:I10)</f>
        <v>7</v>
      </c>
      <c r="K5" s="70">
        <v>4844.8</v>
      </c>
      <c r="L5" s="37">
        <f>'Расчет НП'!Y6</f>
        <v>2.899520718938339</v>
      </c>
      <c r="M5" s="39">
        <f>L5/'Расчет ИБР'!I4</f>
        <v>1.9349976457357891</v>
      </c>
      <c r="N5" s="24">
        <f>RANK(M5,M4:M10)</f>
        <v>1</v>
      </c>
      <c r="O5" s="70">
        <v>4844.8</v>
      </c>
      <c r="P5" s="70">
        <v>4026.3999999999996</v>
      </c>
      <c r="Q5" s="70">
        <v>4026.3999999999996</v>
      </c>
      <c r="S5" s="53"/>
    </row>
    <row r="6" spans="1:22">
      <c r="A6" s="8">
        <v>3</v>
      </c>
      <c r="B6" s="67" t="s">
        <v>63</v>
      </c>
      <c r="C6" s="62">
        <f>C4</f>
        <v>23845.1</v>
      </c>
      <c r="D6" s="62">
        <f>'Расчет Тн'!I5</f>
        <v>7658.2404721428393</v>
      </c>
      <c r="E6" s="62">
        <f>D11</f>
        <v>34882.512827443577</v>
      </c>
      <c r="F6" s="61"/>
      <c r="G6" s="12">
        <v>1202.5</v>
      </c>
      <c r="H6" s="84">
        <f t="shared" si="0"/>
        <v>6437.5445848220215</v>
      </c>
      <c r="I6" s="38">
        <f>'Расчет БО'!E6</f>
        <v>5.9778835302135305E-2</v>
      </c>
      <c r="J6" s="8">
        <f>RANK(I6,I4:I10)</f>
        <v>6</v>
      </c>
      <c r="K6" s="70">
        <v>7333.4</v>
      </c>
      <c r="L6" s="37">
        <f>'Расчет НП'!Y7</f>
        <v>3.9453242088156601</v>
      </c>
      <c r="M6" s="39">
        <f>L6/'Расчет ИБР'!I5</f>
        <v>1.9061283516786838</v>
      </c>
      <c r="N6" s="24">
        <f>RANK(M6,M4:M10)</f>
        <v>2</v>
      </c>
      <c r="O6" s="70">
        <v>7333.4</v>
      </c>
      <c r="P6" s="70">
        <v>6107.2</v>
      </c>
      <c r="Q6" s="70">
        <v>6107.2</v>
      </c>
      <c r="S6" s="53"/>
    </row>
    <row r="7" spans="1:22">
      <c r="A7" s="8">
        <v>4</v>
      </c>
      <c r="B7" s="67" t="s">
        <v>64</v>
      </c>
      <c r="C7" s="62">
        <f>C4</f>
        <v>23845.1</v>
      </c>
      <c r="D7" s="62">
        <f>'Расчет Тн'!I6</f>
        <v>4898.3457530899177</v>
      </c>
      <c r="E7" s="62">
        <f>D11</f>
        <v>34882.512827443577</v>
      </c>
      <c r="F7" s="61"/>
      <c r="G7" s="12">
        <v>611.1</v>
      </c>
      <c r="H7" s="84">
        <f t="shared" si="0"/>
        <v>3959.5269007452803</v>
      </c>
      <c r="I7" s="68">
        <f>'Расчет БО'!E7</f>
        <v>0.68721906498979091</v>
      </c>
      <c r="J7" s="69">
        <f>RANK(I7,I4:I10)</f>
        <v>4</v>
      </c>
      <c r="K7" s="70">
        <v>4041.6</v>
      </c>
      <c r="L7" s="71">
        <f>'Расчет НП'!Y8</f>
        <v>1.5788513552011159</v>
      </c>
      <c r="M7" s="72">
        <f>L7/'Расчет ИБР'!I6</f>
        <v>1.3588982600307995</v>
      </c>
      <c r="N7" s="61">
        <f>RANK(M7,M4:M10)</f>
        <v>4</v>
      </c>
      <c r="O7" s="70">
        <v>4041.6</v>
      </c>
      <c r="P7" s="70">
        <v>3355.5</v>
      </c>
      <c r="Q7" s="70">
        <v>3355.5</v>
      </c>
      <c r="S7" s="53"/>
    </row>
    <row r="8" spans="1:22">
      <c r="A8" s="8">
        <v>5</v>
      </c>
      <c r="B8" s="67" t="s">
        <v>65</v>
      </c>
      <c r="C8" s="62">
        <f>C4</f>
        <v>23845.1</v>
      </c>
      <c r="D8" s="62">
        <f>'Расчет Тн'!I7</f>
        <v>7307.6366247428541</v>
      </c>
      <c r="E8" s="62">
        <f>D11</f>
        <v>34882.512827443577</v>
      </c>
      <c r="F8" s="61"/>
      <c r="G8" s="12"/>
      <c r="H8" s="84">
        <f t="shared" si="0"/>
        <v>4995.3776822971531</v>
      </c>
      <c r="I8" s="38">
        <f>'Расчет БО'!E8</f>
        <v>1.3885154782384992</v>
      </c>
      <c r="J8" s="8">
        <f>RANK(I8,I4:I10)</f>
        <v>3</v>
      </c>
      <c r="K8" s="70">
        <v>2359.6</v>
      </c>
      <c r="L8" s="37">
        <f>'Расчет НП'!Y9</f>
        <v>0.73399695291029721</v>
      </c>
      <c r="M8" s="39">
        <f>L8/'Расчет ИБР'!I7</f>
        <v>0.76753629645336863</v>
      </c>
      <c r="N8" s="24">
        <f>RANK(M8,M4:M10)</f>
        <v>6</v>
      </c>
      <c r="O8" s="70">
        <v>2359.6</v>
      </c>
      <c r="P8" s="70">
        <v>1887.7</v>
      </c>
      <c r="Q8" s="70">
        <v>1887.7</v>
      </c>
      <c r="S8" s="53"/>
    </row>
    <row r="9" spans="1:22">
      <c r="A9" s="8">
        <v>6</v>
      </c>
      <c r="B9" s="67" t="s">
        <v>66</v>
      </c>
      <c r="C9" s="62">
        <f>C4</f>
        <v>23845.1</v>
      </c>
      <c r="D9" s="62"/>
      <c r="E9" s="62">
        <f>D11</f>
        <v>34882.512827443577</v>
      </c>
      <c r="F9" s="61"/>
      <c r="G9" s="12"/>
      <c r="H9" s="84">
        <f t="shared" si="0"/>
        <v>0</v>
      </c>
      <c r="I9" s="38">
        <f>'Расчет БО'!E9</f>
        <v>1.791993516566911</v>
      </c>
      <c r="J9" s="8">
        <f>RANK(I9,I4:I10)</f>
        <v>1</v>
      </c>
      <c r="K9" s="70">
        <v>615.70000000000005</v>
      </c>
      <c r="L9" s="37">
        <f>'Расчет НП'!Y10</f>
        <v>0.38152432975106654</v>
      </c>
      <c r="M9" s="39">
        <f>L9/'Расчет ИБР'!I8</f>
        <v>0.56142148932987357</v>
      </c>
      <c r="N9" s="24">
        <f>RANK(M9,M4:M10)</f>
        <v>7</v>
      </c>
      <c r="O9" s="70">
        <v>615.70000000000005</v>
      </c>
      <c r="P9" s="70">
        <v>492.6</v>
      </c>
      <c r="Q9" s="70">
        <v>492.6</v>
      </c>
      <c r="S9" s="53"/>
    </row>
    <row r="10" spans="1:22">
      <c r="A10" s="8">
        <v>7</v>
      </c>
      <c r="B10" s="26" t="s">
        <v>67</v>
      </c>
      <c r="C10" s="29">
        <f>C4</f>
        <v>23845.1</v>
      </c>
      <c r="D10" s="29">
        <f>'Расчет Тн'!I9</f>
        <v>9432.8773623163306</v>
      </c>
      <c r="E10" s="29">
        <f>D11</f>
        <v>34882.512827443577</v>
      </c>
      <c r="F10" s="61"/>
      <c r="G10" s="12">
        <v>1431.8</v>
      </c>
      <c r="H10" s="84">
        <f t="shared" si="0"/>
        <v>7879.956562138741</v>
      </c>
      <c r="I10" s="38">
        <f>'Расчет БО'!E10</f>
        <v>0.45163798215157275</v>
      </c>
      <c r="J10" s="8">
        <f>RANK(I10,I4:I10)</f>
        <v>5</v>
      </c>
      <c r="K10" s="70">
        <v>7252.2</v>
      </c>
      <c r="L10" s="37">
        <f>'Расчет НП'!Y11</f>
        <v>1.3701780474334655</v>
      </c>
      <c r="M10" s="39">
        <f>L10/'Расчет ИБР'!I9</f>
        <v>1.583836797857527</v>
      </c>
      <c r="N10" s="24">
        <f>RANK(M10,M4:M10)</f>
        <v>3</v>
      </c>
      <c r="O10" s="70">
        <v>7252.2</v>
      </c>
      <c r="P10" s="83">
        <v>6088.1</v>
      </c>
      <c r="Q10" s="83">
        <v>6088.1</v>
      </c>
      <c r="S10" s="53"/>
    </row>
    <row r="11" spans="1:22">
      <c r="A11" s="8"/>
      <c r="B11" s="8" t="s">
        <v>80</v>
      </c>
      <c r="C11" s="8"/>
      <c r="D11" s="29">
        <f>SUM(D4:D10)</f>
        <v>34882.512827443577</v>
      </c>
      <c r="E11" s="8"/>
      <c r="F11" s="62">
        <f>SUM(F4:F10)</f>
        <v>0</v>
      </c>
      <c r="G11" s="62">
        <f>SUM(G4:G10)</f>
        <v>4319.8999999999996</v>
      </c>
      <c r="H11" s="84">
        <f>SUM(H4:H10)</f>
        <v>28165</v>
      </c>
      <c r="I11" s="8"/>
      <c r="J11" s="8"/>
      <c r="K11" s="62">
        <f>SUM(K4:K10)</f>
        <v>28165</v>
      </c>
      <c r="L11" s="29"/>
      <c r="M11" s="39"/>
      <c r="N11" s="24"/>
      <c r="O11" s="83">
        <f>SUM(O4:O10)</f>
        <v>28165</v>
      </c>
      <c r="P11" s="83">
        <f>SUM(P4:P10)</f>
        <v>23396</v>
      </c>
      <c r="Q11" s="83">
        <f>SUM(Q4:Q10)</f>
        <v>23396</v>
      </c>
      <c r="S11" s="53"/>
    </row>
    <row r="12" spans="1:22">
      <c r="A12" s="15"/>
      <c r="B12" s="15"/>
      <c r="C12" s="65"/>
      <c r="D12" s="15"/>
      <c r="E12" s="15"/>
      <c r="F12" s="15"/>
      <c r="G12" s="15"/>
      <c r="H12" s="15"/>
      <c r="I12" s="15"/>
      <c r="J12" s="15"/>
      <c r="K12" s="52"/>
      <c r="L12" s="15"/>
      <c r="M12" s="15"/>
      <c r="N12" s="15"/>
      <c r="O12" s="15"/>
      <c r="P12" s="15"/>
      <c r="S12" s="53"/>
    </row>
    <row r="13" spans="1:22" ht="30" customHeight="1">
      <c r="A13" s="106" t="s">
        <v>97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7"/>
      <c r="M13" s="7"/>
      <c r="N13" s="7"/>
      <c r="O13" s="7"/>
      <c r="S13" s="53"/>
    </row>
    <row r="14" spans="1:22">
      <c r="I14"/>
      <c r="K14" t="s">
        <v>105</v>
      </c>
      <c r="L14" s="7"/>
      <c r="M14" s="99"/>
      <c r="N14" s="7"/>
      <c r="O14" s="7"/>
      <c r="S14" s="53"/>
    </row>
    <row r="15" spans="1:22" ht="30" customHeight="1">
      <c r="A15" s="117" t="s">
        <v>4</v>
      </c>
      <c r="B15" s="115" t="s">
        <v>98</v>
      </c>
      <c r="C15" s="112" t="s">
        <v>101</v>
      </c>
      <c r="D15" s="113"/>
      <c r="E15" s="114"/>
      <c r="F15" s="112" t="s">
        <v>103</v>
      </c>
      <c r="G15" s="113"/>
      <c r="H15" s="114"/>
      <c r="I15" s="112" t="s">
        <v>102</v>
      </c>
      <c r="J15" s="113"/>
      <c r="K15" s="114"/>
    </row>
    <row r="16" spans="1:22">
      <c r="A16" s="118"/>
      <c r="B16" s="116"/>
      <c r="C16" s="12" t="s">
        <v>99</v>
      </c>
      <c r="D16" s="8" t="s">
        <v>83</v>
      </c>
      <c r="E16" s="12" t="s">
        <v>86</v>
      </c>
      <c r="F16" s="12" t="s">
        <v>99</v>
      </c>
      <c r="G16" s="8" t="s">
        <v>83</v>
      </c>
      <c r="H16" s="12" t="s">
        <v>86</v>
      </c>
      <c r="I16" s="8" t="s">
        <v>83</v>
      </c>
      <c r="J16" s="12" t="s">
        <v>99</v>
      </c>
      <c r="K16" s="12" t="s">
        <v>86</v>
      </c>
      <c r="Q16" s="15"/>
      <c r="S16" s="15"/>
      <c r="V16" s="15"/>
    </row>
    <row r="17" spans="1:11">
      <c r="A17" s="8">
        <v>1</v>
      </c>
      <c r="B17" s="26" t="s">
        <v>61</v>
      </c>
      <c r="C17" s="12">
        <v>321.8</v>
      </c>
      <c r="D17" s="12">
        <v>1395.9</v>
      </c>
      <c r="E17" s="12">
        <f>C17+D17</f>
        <v>1717.7</v>
      </c>
      <c r="F17" s="12">
        <v>321.8</v>
      </c>
      <c r="G17" s="12">
        <v>1116.7</v>
      </c>
      <c r="H17" s="12">
        <f>F17+G17</f>
        <v>1438.5</v>
      </c>
      <c r="I17" s="12">
        <v>321.8</v>
      </c>
      <c r="J17" s="12">
        <v>1116.7</v>
      </c>
      <c r="K17" s="12">
        <f>I17+J17</f>
        <v>1438.5</v>
      </c>
    </row>
    <row r="18" spans="1:11">
      <c r="A18" s="8">
        <v>2</v>
      </c>
      <c r="B18" s="26" t="s">
        <v>62</v>
      </c>
      <c r="C18" s="12">
        <v>752.7</v>
      </c>
      <c r="D18" s="12">
        <v>4092.1</v>
      </c>
      <c r="E18" s="12">
        <f t="shared" ref="E18:E23" si="1">C18+D18</f>
        <v>4844.8</v>
      </c>
      <c r="F18" s="12">
        <v>752.7</v>
      </c>
      <c r="G18" s="12">
        <v>3273.7</v>
      </c>
      <c r="H18" s="12">
        <f t="shared" ref="H18:H23" si="2">F18+G18</f>
        <v>4026.3999999999996</v>
      </c>
      <c r="I18" s="12">
        <v>752.7</v>
      </c>
      <c r="J18" s="12">
        <v>3273.7</v>
      </c>
      <c r="K18" s="12">
        <f t="shared" ref="K18:K23" si="3">I18+J18</f>
        <v>4026.3999999999996</v>
      </c>
    </row>
    <row r="19" spans="1:11">
      <c r="A19" s="8">
        <v>3</v>
      </c>
      <c r="B19" s="26" t="s">
        <v>63</v>
      </c>
      <c r="C19" s="12">
        <v>1202.5</v>
      </c>
      <c r="D19" s="12">
        <v>6130.9</v>
      </c>
      <c r="E19" s="12">
        <f t="shared" si="1"/>
        <v>7333.4</v>
      </c>
      <c r="F19" s="12">
        <v>1202.5</v>
      </c>
      <c r="G19" s="12">
        <v>4904.7</v>
      </c>
      <c r="H19" s="12">
        <f t="shared" si="2"/>
        <v>6107.2</v>
      </c>
      <c r="I19" s="12">
        <v>1202.5</v>
      </c>
      <c r="J19" s="12">
        <v>4904.7</v>
      </c>
      <c r="K19" s="12">
        <f t="shared" si="3"/>
        <v>6107.2</v>
      </c>
    </row>
    <row r="20" spans="1:11">
      <c r="A20" s="8">
        <v>4</v>
      </c>
      <c r="B20" s="67" t="s">
        <v>64</v>
      </c>
      <c r="C20" s="12">
        <v>611.1</v>
      </c>
      <c r="D20" s="12">
        <v>3430.5</v>
      </c>
      <c r="E20" s="12">
        <f t="shared" si="1"/>
        <v>4041.6</v>
      </c>
      <c r="F20" s="12">
        <v>611.1</v>
      </c>
      <c r="G20" s="12">
        <v>2744.4</v>
      </c>
      <c r="H20" s="12">
        <f t="shared" si="2"/>
        <v>3355.5</v>
      </c>
      <c r="I20" s="12">
        <v>611.1</v>
      </c>
      <c r="J20" s="12">
        <v>2744.4</v>
      </c>
      <c r="K20" s="12">
        <f t="shared" si="3"/>
        <v>3355.5</v>
      </c>
    </row>
    <row r="21" spans="1:11">
      <c r="A21" s="8">
        <v>5</v>
      </c>
      <c r="B21" s="26" t="s">
        <v>65</v>
      </c>
      <c r="C21" s="12"/>
      <c r="D21" s="12">
        <v>2359.6</v>
      </c>
      <c r="E21" s="12">
        <f t="shared" si="1"/>
        <v>2359.6</v>
      </c>
      <c r="F21" s="12"/>
      <c r="G21" s="12">
        <v>1887.7</v>
      </c>
      <c r="H21" s="12">
        <f t="shared" si="2"/>
        <v>1887.7</v>
      </c>
      <c r="I21" s="12"/>
      <c r="J21" s="12">
        <v>1887.7</v>
      </c>
      <c r="K21" s="12">
        <f t="shared" si="3"/>
        <v>1887.7</v>
      </c>
    </row>
    <row r="22" spans="1:11">
      <c r="A22" s="8">
        <v>6</v>
      </c>
      <c r="B22" s="26" t="s">
        <v>66</v>
      </c>
      <c r="C22" s="12"/>
      <c r="D22" s="12">
        <v>615.70000000000005</v>
      </c>
      <c r="E22" s="12">
        <f t="shared" si="1"/>
        <v>615.70000000000005</v>
      </c>
      <c r="F22" s="12"/>
      <c r="G22" s="12">
        <v>492.6</v>
      </c>
      <c r="H22" s="12">
        <f t="shared" si="2"/>
        <v>492.6</v>
      </c>
      <c r="I22" s="12"/>
      <c r="J22" s="12">
        <v>492.6</v>
      </c>
      <c r="K22" s="12">
        <f t="shared" si="3"/>
        <v>492.6</v>
      </c>
    </row>
    <row r="23" spans="1:11">
      <c r="A23" s="8">
        <v>7</v>
      </c>
      <c r="B23" s="26" t="s">
        <v>67</v>
      </c>
      <c r="C23" s="12">
        <v>1431.8</v>
      </c>
      <c r="D23" s="12">
        <v>5820.4</v>
      </c>
      <c r="E23" s="12">
        <f t="shared" si="1"/>
        <v>7252.2</v>
      </c>
      <c r="F23" s="12">
        <v>1431.8</v>
      </c>
      <c r="G23" s="12">
        <v>4656.3</v>
      </c>
      <c r="H23" s="12">
        <f t="shared" si="2"/>
        <v>6088.1</v>
      </c>
      <c r="I23" s="12">
        <v>1431.8</v>
      </c>
      <c r="J23" s="12">
        <v>4656.3</v>
      </c>
      <c r="K23" s="12">
        <f t="shared" si="3"/>
        <v>6088.1</v>
      </c>
    </row>
    <row r="24" spans="1:11">
      <c r="A24" s="12"/>
      <c r="B24" s="12" t="s">
        <v>86</v>
      </c>
      <c r="C24" s="12">
        <f>SUM(C17:C23)</f>
        <v>4319.8999999999996</v>
      </c>
      <c r="D24" s="12">
        <f t="shared" ref="D24" si="4">SUM(D17:D23)</f>
        <v>23845.1</v>
      </c>
      <c r="E24" s="83">
        <f t="shared" ref="E24" si="5">SUM(E17:E23)</f>
        <v>28165</v>
      </c>
      <c r="F24" s="12">
        <f>SUM(F17:F23)</f>
        <v>4319.8999999999996</v>
      </c>
      <c r="G24" s="12">
        <f t="shared" ref="G24" si="6">SUM(G17:G23)</f>
        <v>19076.099999999999</v>
      </c>
      <c r="H24" s="83">
        <f t="shared" ref="H24" si="7">SUM(H17:H23)</f>
        <v>23396</v>
      </c>
      <c r="I24" s="12">
        <f>SUM(I17:I23)</f>
        <v>4319.8999999999996</v>
      </c>
      <c r="J24" s="12">
        <f t="shared" ref="J24:K24" si="8">SUM(J17:J23)</f>
        <v>19076.099999999999</v>
      </c>
      <c r="K24" s="83">
        <f t="shared" si="8"/>
        <v>23396</v>
      </c>
    </row>
    <row r="25" spans="1:11">
      <c r="I25"/>
      <c r="K25"/>
    </row>
    <row r="26" spans="1:11">
      <c r="I26"/>
      <c r="K26"/>
    </row>
    <row r="27" spans="1:11">
      <c r="A27" s="95"/>
      <c r="B27" s="95"/>
      <c r="C27" s="95"/>
      <c r="D27" s="95"/>
      <c r="E27" s="95"/>
      <c r="F27" s="95"/>
      <c r="G27" s="95"/>
      <c r="I27"/>
      <c r="J27" s="95"/>
      <c r="K27"/>
    </row>
    <row r="28" spans="1:11">
      <c r="G28" s="95"/>
      <c r="I28"/>
      <c r="J28" s="95"/>
      <c r="K28"/>
    </row>
    <row r="29" spans="1:11">
      <c r="A29" s="95"/>
      <c r="B29" s="95"/>
      <c r="C29" s="95"/>
      <c r="D29" s="95"/>
      <c r="E29" s="95"/>
      <c r="F29" s="95"/>
      <c r="G29" s="95"/>
      <c r="I29"/>
      <c r="J29" s="95"/>
      <c r="K29"/>
    </row>
    <row r="30" spans="1:11">
      <c r="G30" s="95"/>
      <c r="I30"/>
      <c r="J30" s="95"/>
      <c r="K30"/>
    </row>
    <row r="31" spans="1:11">
      <c r="A31" s="95"/>
      <c r="B31" s="95"/>
      <c r="C31" s="95"/>
      <c r="D31" s="95"/>
      <c r="E31" s="95"/>
      <c r="F31" s="95"/>
      <c r="G31" s="95"/>
      <c r="I31"/>
      <c r="J31" s="95"/>
      <c r="K31"/>
    </row>
    <row r="32" spans="1:11">
      <c r="G32" s="95"/>
      <c r="I32"/>
      <c r="J32" s="95"/>
      <c r="K32"/>
    </row>
    <row r="33" spans="1:11">
      <c r="A33" s="95"/>
      <c r="B33" s="95"/>
      <c r="C33" s="95"/>
      <c r="D33" s="95"/>
      <c r="E33" s="95"/>
      <c r="F33" s="95"/>
      <c r="G33" s="95"/>
      <c r="I33"/>
      <c r="J33" s="95"/>
      <c r="K33"/>
    </row>
    <row r="34" spans="1:11">
      <c r="G34" s="95"/>
      <c r="I34"/>
      <c r="J34" s="95"/>
      <c r="K34"/>
    </row>
    <row r="35" spans="1:11">
      <c r="A35" s="95"/>
      <c r="B35" s="95"/>
      <c r="C35" s="95"/>
      <c r="D35" s="95"/>
      <c r="E35" s="95"/>
      <c r="F35" s="95"/>
      <c r="G35" s="95"/>
      <c r="I35"/>
      <c r="J35" s="95"/>
      <c r="K35"/>
    </row>
    <row r="36" spans="1:11">
      <c r="G36" s="95"/>
      <c r="I36"/>
      <c r="J36" s="95"/>
      <c r="K36"/>
    </row>
    <row r="37" spans="1:11" ht="18.75" customHeight="1">
      <c r="A37" s="95"/>
      <c r="B37" s="95"/>
      <c r="C37" s="95"/>
      <c r="D37" s="95"/>
      <c r="E37" s="95"/>
      <c r="F37" s="95"/>
      <c r="G37" s="95"/>
      <c r="I37"/>
      <c r="J37" s="95"/>
      <c r="K37"/>
    </row>
    <row r="38" spans="1:11">
      <c r="G38" s="95"/>
      <c r="H38" s="95"/>
      <c r="I38" s="95"/>
      <c r="J38" s="95"/>
      <c r="K38"/>
    </row>
    <row r="39" spans="1:11">
      <c r="A39" s="95"/>
      <c r="B39" s="95"/>
      <c r="C39" s="95"/>
      <c r="D39" s="95"/>
      <c r="E39" s="95"/>
      <c r="F39" s="95"/>
      <c r="G39" s="95"/>
      <c r="H39" s="95"/>
      <c r="I39" s="95"/>
      <c r="J39" s="95"/>
      <c r="K39"/>
    </row>
    <row r="40" spans="1:11">
      <c r="G40" s="95"/>
      <c r="H40" s="95"/>
      <c r="I40" s="95"/>
      <c r="J40" s="95"/>
      <c r="K40"/>
    </row>
    <row r="41" spans="1:11">
      <c r="A41" s="95"/>
      <c r="B41" s="95"/>
      <c r="C41" s="95"/>
      <c r="D41" s="95"/>
      <c r="E41" s="95"/>
      <c r="F41" s="95"/>
      <c r="G41" s="95"/>
      <c r="H41" s="95"/>
      <c r="I41" s="95"/>
      <c r="J41" s="95"/>
      <c r="K41"/>
    </row>
    <row r="42" spans="1:11">
      <c r="G42" s="95"/>
      <c r="H42" s="95"/>
      <c r="I42" s="95"/>
      <c r="J42" s="95"/>
      <c r="K42"/>
    </row>
    <row r="43" spans="1:11">
      <c r="A43" s="95"/>
      <c r="B43" s="95"/>
      <c r="C43" s="95"/>
      <c r="D43" s="95"/>
      <c r="E43" s="95"/>
      <c r="F43" s="95"/>
      <c r="G43" s="95"/>
      <c r="H43" s="95"/>
      <c r="I43" s="95"/>
      <c r="J43" s="95"/>
      <c r="K43"/>
    </row>
    <row r="44" spans="1:11">
      <c r="G44" s="95"/>
      <c r="H44" s="95"/>
      <c r="I44" s="95"/>
      <c r="J44" s="95"/>
      <c r="K44"/>
    </row>
    <row r="45" spans="1:11">
      <c r="A45" s="95"/>
      <c r="B45" s="95"/>
      <c r="C45" s="95"/>
      <c r="D45" s="95"/>
      <c r="E45" s="95"/>
      <c r="F45" s="95"/>
      <c r="G45" s="95"/>
      <c r="H45" s="95"/>
      <c r="I45" s="95"/>
      <c r="J45" s="95"/>
      <c r="K45"/>
    </row>
    <row r="46" spans="1:11">
      <c r="G46" s="95"/>
      <c r="H46" s="95"/>
      <c r="I46" s="95"/>
      <c r="J46" s="95"/>
      <c r="K46"/>
    </row>
    <row r="47" spans="1:11">
      <c r="A47" s="95"/>
      <c r="B47" s="95"/>
      <c r="C47" s="95"/>
      <c r="D47" s="95"/>
      <c r="E47" s="95"/>
      <c r="F47" s="95"/>
      <c r="G47" s="95"/>
      <c r="H47" s="95"/>
      <c r="I47" s="95"/>
      <c r="J47" s="95"/>
      <c r="K47"/>
    </row>
    <row r="48" spans="1:11">
      <c r="G48" s="95"/>
      <c r="H48" s="95"/>
      <c r="I48" s="95"/>
      <c r="J48" s="95"/>
      <c r="K48"/>
    </row>
    <row r="49" spans="1:11">
      <c r="A49" s="95"/>
      <c r="B49" s="95"/>
      <c r="C49" s="95"/>
      <c r="D49" s="95"/>
      <c r="E49" s="95"/>
      <c r="F49" s="95"/>
      <c r="G49" s="95"/>
      <c r="H49" s="95"/>
      <c r="I49" s="95"/>
      <c r="J49" s="95"/>
      <c r="K49"/>
    </row>
    <row r="50" spans="1:11">
      <c r="G50" s="95"/>
      <c r="H50" s="95"/>
      <c r="I50" s="95"/>
      <c r="J50" s="95"/>
      <c r="K50"/>
    </row>
    <row r="51" spans="1:11">
      <c r="I51"/>
      <c r="K51"/>
    </row>
    <row r="52" spans="1:11">
      <c r="I52"/>
      <c r="K52"/>
    </row>
    <row r="53" spans="1:11">
      <c r="I53"/>
      <c r="K53"/>
    </row>
    <row r="54" spans="1:11">
      <c r="I54"/>
      <c r="K54"/>
    </row>
    <row r="55" spans="1:11">
      <c r="I55"/>
      <c r="K55"/>
    </row>
    <row r="56" spans="1:11">
      <c r="I56"/>
      <c r="K56"/>
    </row>
    <row r="57" spans="1:11">
      <c r="I57"/>
      <c r="K57"/>
    </row>
    <row r="58" spans="1:11">
      <c r="I58"/>
      <c r="K58"/>
    </row>
    <row r="59" spans="1:11">
      <c r="I59"/>
      <c r="K59"/>
    </row>
    <row r="60" spans="1:11">
      <c r="I60"/>
      <c r="K60"/>
    </row>
    <row r="61" spans="1:11">
      <c r="I61"/>
      <c r="K61"/>
    </row>
    <row r="62" spans="1:11">
      <c r="I62"/>
      <c r="K62"/>
    </row>
    <row r="63" spans="1:11">
      <c r="I63"/>
      <c r="K63"/>
    </row>
    <row r="64" spans="1:11">
      <c r="I64"/>
      <c r="K64"/>
    </row>
    <row r="65" spans="9:11">
      <c r="I65"/>
      <c r="K65"/>
    </row>
    <row r="66" spans="9:11">
      <c r="I66"/>
      <c r="K66"/>
    </row>
    <row r="67" spans="9:11">
      <c r="I67"/>
      <c r="K67"/>
    </row>
    <row r="68" spans="9:11">
      <c r="I68"/>
      <c r="K68"/>
    </row>
    <row r="69" spans="9:11">
      <c r="I69"/>
      <c r="K69"/>
    </row>
    <row r="70" spans="9:11">
      <c r="I70"/>
      <c r="K70"/>
    </row>
    <row r="71" spans="9:11">
      <c r="I71"/>
      <c r="K71"/>
    </row>
    <row r="72" spans="9:11">
      <c r="I72"/>
      <c r="K72"/>
    </row>
    <row r="73" spans="9:11">
      <c r="I73"/>
      <c r="K73"/>
    </row>
    <row r="74" spans="9:11">
      <c r="I74"/>
      <c r="K74"/>
    </row>
    <row r="75" spans="9:11">
      <c r="I75"/>
      <c r="K75"/>
    </row>
    <row r="76" spans="9:11">
      <c r="I76"/>
      <c r="K76"/>
    </row>
    <row r="77" spans="9:11">
      <c r="I77"/>
      <c r="K77"/>
    </row>
    <row r="78" spans="9:11">
      <c r="I78"/>
      <c r="K78"/>
    </row>
    <row r="79" spans="9:11">
      <c r="I79"/>
      <c r="K79"/>
    </row>
    <row r="80" spans="9:11">
      <c r="I80"/>
      <c r="K80"/>
    </row>
    <row r="81" spans="9:11">
      <c r="I81"/>
      <c r="K81"/>
    </row>
    <row r="82" spans="9:11">
      <c r="I82"/>
      <c r="K82"/>
    </row>
    <row r="83" spans="9:11">
      <c r="I83"/>
      <c r="K83"/>
    </row>
    <row r="84" spans="9:11">
      <c r="I84"/>
      <c r="K84"/>
    </row>
    <row r="85" spans="9:11">
      <c r="I85"/>
      <c r="K85"/>
    </row>
    <row r="86" spans="9:11">
      <c r="I86"/>
      <c r="K86"/>
    </row>
    <row r="87" spans="9:11">
      <c r="I87"/>
      <c r="K87"/>
    </row>
    <row r="88" spans="9:11">
      <c r="I88"/>
      <c r="K88"/>
    </row>
    <row r="89" spans="9:11">
      <c r="I89"/>
      <c r="K89"/>
    </row>
    <row r="90" spans="9:11">
      <c r="I90"/>
      <c r="K90"/>
    </row>
    <row r="91" spans="9:11">
      <c r="I91"/>
      <c r="K91"/>
    </row>
    <row r="92" spans="9:11">
      <c r="I92"/>
      <c r="K92"/>
    </row>
    <row r="93" spans="9:11">
      <c r="I93"/>
      <c r="K93"/>
    </row>
    <row r="94" spans="9:11">
      <c r="I94"/>
      <c r="K94"/>
    </row>
    <row r="95" spans="9:11">
      <c r="I95"/>
      <c r="K95"/>
    </row>
    <row r="96" spans="9:11">
      <c r="I96"/>
      <c r="K96"/>
    </row>
    <row r="97" spans="9:11">
      <c r="I97"/>
      <c r="K97"/>
    </row>
    <row r="98" spans="9:11">
      <c r="I98"/>
      <c r="K98"/>
    </row>
    <row r="99" spans="9:11">
      <c r="I99"/>
      <c r="K99"/>
    </row>
    <row r="100" spans="9:11">
      <c r="I100"/>
      <c r="K100"/>
    </row>
    <row r="101" spans="9:11">
      <c r="I101"/>
      <c r="K101"/>
    </row>
    <row r="102" spans="9:11">
      <c r="I102"/>
      <c r="K102"/>
    </row>
    <row r="103" spans="9:11">
      <c r="I103"/>
      <c r="K103"/>
    </row>
    <row r="104" spans="9:11">
      <c r="I104"/>
      <c r="K104"/>
    </row>
    <row r="105" spans="9:11">
      <c r="I105"/>
      <c r="K105"/>
    </row>
    <row r="106" spans="9:11">
      <c r="I106"/>
      <c r="K106"/>
    </row>
    <row r="107" spans="9:11">
      <c r="I107"/>
      <c r="K107"/>
    </row>
    <row r="108" spans="9:11">
      <c r="I108"/>
      <c r="K108"/>
    </row>
    <row r="109" spans="9:11">
      <c r="I109"/>
      <c r="K109"/>
    </row>
    <row r="110" spans="9:11">
      <c r="I110"/>
      <c r="K110"/>
    </row>
    <row r="111" spans="9:11">
      <c r="I111"/>
      <c r="K111"/>
    </row>
    <row r="112" spans="9:11">
      <c r="I112"/>
      <c r="K112"/>
    </row>
    <row r="113" spans="9:11">
      <c r="I113"/>
      <c r="K113"/>
    </row>
    <row r="114" spans="9:11">
      <c r="I114"/>
      <c r="K114"/>
    </row>
    <row r="115" spans="9:11">
      <c r="I115"/>
      <c r="K115"/>
    </row>
    <row r="116" spans="9:11">
      <c r="I116"/>
      <c r="K116"/>
    </row>
    <row r="117" spans="9:11">
      <c r="I117"/>
      <c r="K117"/>
    </row>
    <row r="118" spans="9:11">
      <c r="I118"/>
      <c r="K118"/>
    </row>
    <row r="119" spans="9:11">
      <c r="I119"/>
      <c r="K119"/>
    </row>
    <row r="120" spans="9:11">
      <c r="I120"/>
      <c r="K120"/>
    </row>
    <row r="121" spans="9:11">
      <c r="I121"/>
      <c r="K121"/>
    </row>
    <row r="122" spans="9:11">
      <c r="I122"/>
      <c r="K122"/>
    </row>
    <row r="123" spans="9:11">
      <c r="I123"/>
      <c r="K123"/>
    </row>
    <row r="124" spans="9:11">
      <c r="I124"/>
      <c r="K124"/>
    </row>
    <row r="125" spans="9:11">
      <c r="I125"/>
      <c r="K125"/>
    </row>
    <row r="126" spans="9:11">
      <c r="I126"/>
      <c r="K126"/>
    </row>
    <row r="127" spans="9:11">
      <c r="I127"/>
      <c r="K127"/>
    </row>
    <row r="128" spans="9:11">
      <c r="I128"/>
      <c r="K128"/>
    </row>
    <row r="129" spans="9:11">
      <c r="I129"/>
      <c r="K129"/>
    </row>
    <row r="130" spans="9:11">
      <c r="I130"/>
      <c r="K130"/>
    </row>
    <row r="131" spans="9:11">
      <c r="I131"/>
      <c r="K131"/>
    </row>
    <row r="132" spans="9:11">
      <c r="I132"/>
      <c r="K132"/>
    </row>
    <row r="133" spans="9:11">
      <c r="I133"/>
      <c r="K133"/>
    </row>
    <row r="134" spans="9:11">
      <c r="I134"/>
      <c r="K134"/>
    </row>
    <row r="135" spans="9:11">
      <c r="I135"/>
      <c r="K135"/>
    </row>
    <row r="136" spans="9:11">
      <c r="I136"/>
      <c r="K136"/>
    </row>
    <row r="137" spans="9:11">
      <c r="I137"/>
      <c r="K137"/>
    </row>
    <row r="138" spans="9:11">
      <c r="I138"/>
      <c r="K138"/>
    </row>
    <row r="139" spans="9:11">
      <c r="I139"/>
      <c r="K139"/>
    </row>
    <row r="140" spans="9:11">
      <c r="I140"/>
      <c r="K140"/>
    </row>
    <row r="141" spans="9:11">
      <c r="I141"/>
      <c r="K141"/>
    </row>
    <row r="142" spans="9:11">
      <c r="I142"/>
      <c r="K142"/>
    </row>
    <row r="143" spans="9:11">
      <c r="I143"/>
      <c r="K143"/>
    </row>
    <row r="144" spans="9:11">
      <c r="I144"/>
      <c r="K144"/>
    </row>
    <row r="145" spans="9:11">
      <c r="I145"/>
      <c r="K145"/>
    </row>
    <row r="146" spans="9:11">
      <c r="I146"/>
      <c r="K146"/>
    </row>
    <row r="147" spans="9:11">
      <c r="I147"/>
      <c r="K147"/>
    </row>
    <row r="148" spans="9:11">
      <c r="I148"/>
      <c r="K148"/>
    </row>
    <row r="149" spans="9:11">
      <c r="I149"/>
      <c r="K149"/>
    </row>
    <row r="150" spans="9:11">
      <c r="I150"/>
      <c r="K150"/>
    </row>
    <row r="151" spans="9:11">
      <c r="I151"/>
      <c r="K151"/>
    </row>
    <row r="152" spans="9:11">
      <c r="I152"/>
      <c r="K152"/>
    </row>
    <row r="153" spans="9:11">
      <c r="I153"/>
      <c r="K153"/>
    </row>
    <row r="154" spans="9:11">
      <c r="I154"/>
      <c r="K154"/>
    </row>
    <row r="155" spans="9:11">
      <c r="I155"/>
      <c r="K155"/>
    </row>
    <row r="156" spans="9:11">
      <c r="I156"/>
      <c r="K156"/>
    </row>
    <row r="157" spans="9:11">
      <c r="I157"/>
      <c r="K157"/>
    </row>
    <row r="158" spans="9:11">
      <c r="I158"/>
      <c r="K158"/>
    </row>
    <row r="159" spans="9:11">
      <c r="I159"/>
      <c r="K159"/>
    </row>
    <row r="160" spans="9:11">
      <c r="I160"/>
      <c r="K160"/>
    </row>
    <row r="161" spans="9:11">
      <c r="I161"/>
      <c r="K161"/>
    </row>
    <row r="162" spans="9:11">
      <c r="I162"/>
      <c r="K162"/>
    </row>
    <row r="163" spans="9:11">
      <c r="I163"/>
      <c r="K163"/>
    </row>
    <row r="164" spans="9:11">
      <c r="I164"/>
      <c r="K164"/>
    </row>
    <row r="165" spans="9:11">
      <c r="I165"/>
      <c r="K165"/>
    </row>
    <row r="166" spans="9:11">
      <c r="I166"/>
      <c r="K166"/>
    </row>
    <row r="167" spans="9:11">
      <c r="I167"/>
      <c r="K167"/>
    </row>
    <row r="168" spans="9:11">
      <c r="I168"/>
      <c r="K168"/>
    </row>
    <row r="169" spans="9:11">
      <c r="I169"/>
      <c r="K169"/>
    </row>
    <row r="170" spans="9:11">
      <c r="I170"/>
      <c r="K170"/>
    </row>
    <row r="171" spans="9:11">
      <c r="I171"/>
      <c r="K171"/>
    </row>
    <row r="172" spans="9:11">
      <c r="I172"/>
      <c r="K172"/>
    </row>
    <row r="173" spans="9:11">
      <c r="I173"/>
      <c r="K173"/>
    </row>
    <row r="174" spans="9:11">
      <c r="I174"/>
      <c r="K174"/>
    </row>
    <row r="175" spans="9:11">
      <c r="I175"/>
      <c r="K175"/>
    </row>
    <row r="176" spans="9:11">
      <c r="I176"/>
      <c r="K176"/>
    </row>
    <row r="177" spans="9:11">
      <c r="I177"/>
      <c r="K177"/>
    </row>
    <row r="178" spans="9:11">
      <c r="I178"/>
      <c r="K178"/>
    </row>
    <row r="179" spans="9:11">
      <c r="I179"/>
      <c r="K179"/>
    </row>
    <row r="180" spans="9:11">
      <c r="I180"/>
      <c r="K180"/>
    </row>
    <row r="181" spans="9:11">
      <c r="I181"/>
      <c r="K181"/>
    </row>
    <row r="182" spans="9:11">
      <c r="I182"/>
      <c r="K182"/>
    </row>
    <row r="183" spans="9:11">
      <c r="I183"/>
      <c r="K183"/>
    </row>
    <row r="184" spans="9:11">
      <c r="I184"/>
      <c r="K184"/>
    </row>
    <row r="185" spans="9:11">
      <c r="I185"/>
      <c r="K185"/>
    </row>
    <row r="186" spans="9:11">
      <c r="I186"/>
      <c r="K186"/>
    </row>
    <row r="187" spans="9:11">
      <c r="I187"/>
      <c r="K187"/>
    </row>
    <row r="188" spans="9:11">
      <c r="I188"/>
      <c r="K188"/>
    </row>
    <row r="189" spans="9:11">
      <c r="I189"/>
      <c r="K189"/>
    </row>
    <row r="190" spans="9:11">
      <c r="I190"/>
      <c r="K190"/>
    </row>
    <row r="191" spans="9:11">
      <c r="I191"/>
      <c r="K191"/>
    </row>
    <row r="192" spans="9:11">
      <c r="I192"/>
      <c r="K192"/>
    </row>
  </sheetData>
  <mergeCells count="7">
    <mergeCell ref="A1:I1"/>
    <mergeCell ref="C15:E15"/>
    <mergeCell ref="I15:K15"/>
    <mergeCell ref="F15:H15"/>
    <mergeCell ref="A13:K13"/>
    <mergeCell ref="B15:B16"/>
    <mergeCell ref="A15:A16"/>
  </mergeCells>
  <pageMargins left="0.70866141732283472" right="0.70866141732283472" top="1.574803149606299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Расчет ФФП</vt:lpstr>
      <vt:lpstr>Расчет К удорожания</vt:lpstr>
      <vt:lpstr>Расчет удельного веса расходов</vt:lpstr>
      <vt:lpstr>Расчет ИБР</vt:lpstr>
      <vt:lpstr>Расчет НП</vt:lpstr>
      <vt:lpstr>Расчет БО</vt:lpstr>
      <vt:lpstr>Расчет Тн</vt:lpstr>
      <vt:lpstr>ДОТАЦИЯ</vt:lpstr>
      <vt:lpstr>'Расчет БО'!Область_печати</vt:lpstr>
      <vt:lpstr>'Расчет НП'!Область_печати</vt:lpstr>
      <vt:lpstr>'Расчет удельного веса расходов'!Область_печати</vt:lpstr>
      <vt:lpstr>'Расчет ФФП'!Область_печати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2025-04-09T01:40:28Z</dcterms:modified>
</cp:coreProperties>
</file>