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805" yWindow="225" windowWidth="15810" windowHeight="12525"/>
  </bookViews>
  <sheets>
    <sheet name="Лист1" sheetId="1" r:id="rId1"/>
  </sheets>
  <definedNames>
    <definedName name="_xlnm._FilterDatabase" localSheetId="0" hidden="1">Лист1!$A$3:$J$89</definedName>
    <definedName name="_xlnm.Print_Area" localSheetId="0">Лист1!$A$1:$J$89</definedName>
  </definedNames>
  <calcPr calcId="124519"/>
</workbook>
</file>

<file path=xl/calcChain.xml><?xml version="1.0" encoding="utf-8"?>
<calcChain xmlns="http://schemas.openxmlformats.org/spreadsheetml/2006/main">
  <c r="G55" i="1"/>
  <c r="E40"/>
  <c r="E41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52"/>
  <c r="E53"/>
  <c r="E54"/>
  <c r="E55"/>
  <c r="E56"/>
  <c r="E57"/>
  <c r="E58"/>
  <c r="E59"/>
  <c r="E60"/>
  <c r="E61"/>
  <c r="E62"/>
  <c r="E63"/>
  <c r="E51"/>
  <c r="E49"/>
  <c r="I55"/>
  <c r="I76"/>
  <c r="J76"/>
  <c r="D76" l="1"/>
  <c r="D55"/>
  <c r="D56"/>
  <c r="C76"/>
  <c r="D51"/>
  <c r="D53"/>
  <c r="C44" l="1"/>
  <c r="D44"/>
  <c r="D84"/>
  <c r="D83"/>
  <c r="D82"/>
  <c r="D81"/>
  <c r="D80"/>
  <c r="D79"/>
  <c r="D75"/>
  <c r="D74"/>
  <c r="D72"/>
  <c r="D71"/>
  <c r="D70"/>
  <c r="D69"/>
  <c r="D68"/>
  <c r="D58"/>
  <c r="D57"/>
  <c r="D54"/>
  <c r="D52"/>
  <c r="D30" l="1"/>
  <c r="E30"/>
  <c r="E29" s="1"/>
  <c r="C84"/>
  <c r="C83"/>
  <c r="C82"/>
  <c r="C81"/>
  <c r="C80"/>
  <c r="C79"/>
  <c r="C75"/>
  <c r="C74"/>
  <c r="C70"/>
  <c r="C68"/>
  <c r="C63"/>
  <c r="C56"/>
  <c r="C55"/>
  <c r="C54"/>
  <c r="C53"/>
  <c r="C52"/>
  <c r="C51"/>
  <c r="C49"/>
  <c r="F7" l="1"/>
  <c r="J55"/>
  <c r="J69" l="1"/>
  <c r="I70"/>
  <c r="G70"/>
  <c r="G79"/>
  <c r="G76" l="1"/>
  <c r="J53"/>
  <c r="I53"/>
  <c r="J83"/>
  <c r="I83"/>
  <c r="J70"/>
  <c r="J84"/>
  <c r="I84"/>
  <c r="J82"/>
  <c r="I82"/>
  <c r="J81"/>
  <c r="I81"/>
  <c r="J80"/>
  <c r="I80"/>
  <c r="J56"/>
  <c r="I56"/>
  <c r="J49"/>
  <c r="I49"/>
  <c r="J51"/>
  <c r="I51"/>
  <c r="G69"/>
  <c r="I69"/>
  <c r="J79"/>
  <c r="I79"/>
  <c r="J78"/>
  <c r="I78"/>
  <c r="J74"/>
  <c r="I74"/>
  <c r="J54"/>
  <c r="I54"/>
  <c r="G53" l="1"/>
  <c r="G83"/>
  <c r="G84"/>
  <c r="G82"/>
  <c r="G81"/>
  <c r="G80"/>
  <c r="G56"/>
  <c r="G49"/>
  <c r="G51"/>
  <c r="G65"/>
  <c r="G78"/>
  <c r="G74"/>
  <c r="G54"/>
  <c r="G75" l="1"/>
  <c r="G46"/>
  <c r="J46"/>
  <c r="I46"/>
  <c r="J65" l="1"/>
  <c r="I65"/>
  <c r="J63"/>
  <c r="I63"/>
  <c r="G63"/>
  <c r="J62"/>
  <c r="I62"/>
  <c r="G62"/>
  <c r="J57"/>
  <c r="I57"/>
  <c r="G57"/>
  <c r="F40" l="1"/>
  <c r="F38"/>
  <c r="F37"/>
  <c r="F36"/>
  <c r="F35"/>
  <c r="H34"/>
  <c r="F34"/>
  <c r="F33"/>
  <c r="H33"/>
  <c r="H32"/>
  <c r="H31"/>
  <c r="F31"/>
  <c r="J30"/>
  <c r="J29" s="1"/>
  <c r="I30"/>
  <c r="I29" s="1"/>
  <c r="G30"/>
  <c r="G29" s="1"/>
  <c r="D29"/>
  <c r="C30"/>
  <c r="C29" s="1"/>
  <c r="H28"/>
  <c r="F28"/>
  <c r="H27"/>
  <c r="F27"/>
  <c r="H26"/>
  <c r="F26"/>
  <c r="H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J13"/>
  <c r="I13"/>
  <c r="G13"/>
  <c r="E13"/>
  <c r="D13"/>
  <c r="C13"/>
  <c r="H12"/>
  <c r="F12"/>
  <c r="H11"/>
  <c r="F11"/>
  <c r="H10"/>
  <c r="F10"/>
  <c r="F9"/>
  <c r="J8"/>
  <c r="I8"/>
  <c r="G8"/>
  <c r="E8"/>
  <c r="D8"/>
  <c r="C8"/>
  <c r="H7"/>
  <c r="H6"/>
  <c r="F6"/>
  <c r="H9" l="1"/>
  <c r="F30"/>
  <c r="F32"/>
  <c r="I5"/>
  <c r="I4" s="1"/>
  <c r="H13"/>
  <c r="J5"/>
  <c r="J4" s="1"/>
  <c r="H8"/>
  <c r="E5"/>
  <c r="F8"/>
  <c r="G5"/>
  <c r="G4" s="1"/>
  <c r="C5"/>
  <c r="C4" s="1"/>
  <c r="F13"/>
  <c r="D5"/>
  <c r="F25"/>
  <c r="I40" l="1"/>
  <c r="I87" s="1"/>
  <c r="G87"/>
  <c r="G40"/>
  <c r="H40" s="1"/>
  <c r="J40"/>
  <c r="J87" s="1"/>
  <c r="H30"/>
  <c r="F29"/>
  <c r="H5"/>
  <c r="F5"/>
  <c r="D4"/>
  <c r="E4" l="1"/>
  <c r="H4" s="1"/>
  <c r="H29"/>
  <c r="F4" l="1"/>
  <c r="D49" l="1"/>
  <c r="F58"/>
  <c r="H68"/>
  <c r="F71"/>
  <c r="F76"/>
  <c r="H81"/>
  <c r="H82"/>
  <c r="H83"/>
  <c r="F84"/>
  <c r="C46"/>
  <c r="H60"/>
  <c r="F77"/>
  <c r="H61"/>
  <c r="H62"/>
  <c r="H63"/>
  <c r="F64"/>
  <c r="H65"/>
  <c r="F66"/>
  <c r="H73"/>
  <c r="H78"/>
  <c r="H80"/>
  <c r="F85"/>
  <c r="F86"/>
  <c r="F60"/>
  <c r="F69" l="1"/>
  <c r="F61"/>
  <c r="F62"/>
  <c r="F63"/>
  <c r="F65"/>
  <c r="H79"/>
  <c r="F79"/>
  <c r="H66"/>
  <c r="F73"/>
  <c r="F70"/>
  <c r="H70"/>
  <c r="F74"/>
  <c r="H74"/>
  <c r="F75"/>
  <c r="H75"/>
  <c r="F78"/>
  <c r="F80"/>
  <c r="F81"/>
  <c r="F72"/>
  <c r="H72"/>
  <c r="F83"/>
  <c r="F68"/>
  <c r="F82"/>
  <c r="H77"/>
  <c r="H85"/>
  <c r="H84"/>
  <c r="H64"/>
  <c r="H71"/>
  <c r="H76"/>
  <c r="H86"/>
  <c r="H69" l="1"/>
  <c r="H45"/>
  <c r="H47"/>
  <c r="H48"/>
  <c r="H49"/>
  <c r="H50"/>
  <c r="H51"/>
  <c r="H52"/>
  <c r="H53"/>
  <c r="H54"/>
  <c r="H55"/>
  <c r="H56"/>
  <c r="H57"/>
  <c r="H59"/>
  <c r="H43"/>
  <c r="E46"/>
  <c r="F45"/>
  <c r="F47"/>
  <c r="F48"/>
  <c r="F49"/>
  <c r="F50"/>
  <c r="F51"/>
  <c r="F52"/>
  <c r="F53"/>
  <c r="F54"/>
  <c r="F55"/>
  <c r="F56"/>
  <c r="F57"/>
  <c r="F59"/>
  <c r="F43"/>
  <c r="F41"/>
  <c r="H44" l="1"/>
  <c r="D46"/>
  <c r="F44" l="1"/>
  <c r="F46"/>
  <c r="D87"/>
  <c r="C87" l="1"/>
  <c r="E87"/>
  <c r="H46"/>
  <c r="H41"/>
  <c r="H87" l="1"/>
</calcChain>
</file>

<file path=xl/sharedStrings.xml><?xml version="1.0" encoding="utf-8"?>
<sst xmlns="http://schemas.openxmlformats.org/spreadsheetml/2006/main" count="132" uniqueCount="132">
  <si>
    <t>Наименование показателя</t>
  </si>
  <si>
    <t>Коды бюджетной классификации доходов и расходов</t>
  </si>
  <si>
    <t>Исполнение за год, предшествующий текущему году, тыс. руб.</t>
  </si>
  <si>
    <t>Плановые назначения на текущий год, тыс. руб.</t>
  </si>
  <si>
    <t>Оценка ожидаемого исполнения на текущий год, тыс. руб.</t>
  </si>
  <si>
    <t>Выполнение плановых назначений, %</t>
  </si>
  <si>
    <t>Плановые назначения на очередной финансовый год, тыс. руб.</t>
  </si>
  <si>
    <t>Темп роста плановых назначений очередного финансового года к оценке ожидаемого исполнения текущего года, %</t>
  </si>
  <si>
    <t>Доходы бюджета - Итого</t>
  </si>
  <si>
    <t>Налоговые и неналоговые доходы, всего, в том числе налоговые и неналоговые доходы по следующим подгруппам: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</si>
  <si>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</si>
  <si>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</si>
  <si>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</si>
  <si>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</si>
  <si>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</si>
  <si>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</si>
  <si>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</si>
  <si>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</si>
  <si>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Единый налог на вмененный доход для отдельных видов деятельности</t>
  </si>
  <si>
    <t>000 1 05 02000 02 0000 110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</si>
  <si>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</si>
  <si>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</si>
  <si>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</si>
  <si>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</si>
  <si>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</si>
  <si>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</si>
  <si>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</si>
  <si>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</si>
  <si>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организаций</t>
  </si>
  <si>
    <t>000 1 06 02000 02 0000 110</t>
  </si>
  <si>
    <t>Земельный налог</t>
  </si>
  <si>
    <t>000 1 06 06000 00 0000 110</t>
  </si>
  <si>
    <t>Земельный налог с организаций</t>
  </si>
  <si>
    <t>000 1 06 06030 00 0000 110</t>
  </si>
  <si>
    <t>Земельный налог с физических лиц</t>
  </si>
  <si>
    <t>000 1 06 06040 00 0000 110</t>
  </si>
  <si>
    <t>Налоги, сборы и регулярные платежи за пользование природными ресурсами</t>
  </si>
  <si>
    <t>000 1 07 00000 00 0000 000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</si>
  <si>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</si>
  <si>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</si>
  <si>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</si>
  <si>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</si>
  <si>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</si>
  <si>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</si>
  <si>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</si>
  <si>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</si>
  <si>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Доходы от оказания платных услуг и компенсации затрат государства</t>
  </si>
  <si>
    <t>000 1 13 00000 00 0000 000</t>
  </si>
  <si>
    <t>Доходы от продажи материальных и нематериальных активов</t>
  </si>
  <si>
    <t>000 1 14 00000 00 0000 000</t>
  </si>
  <si>
    <t>Административные платежи и сборы</t>
  </si>
  <si>
    <t>000 1 15 00000 00 0000 000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</si>
  <si>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</si>
  <si>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</si>
  <si>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</si>
  <si>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</si>
  <si>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</si>
  <si>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</si>
  <si>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</si>
  <si>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</si>
  <si>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</si>
  <si>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</si>
  <si>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</si>
  <si>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</si>
  <si>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</si>
  <si>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</si>
  <si>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перечисления от других бюджетов бюджетной системы Российской Федерации</t>
  </si>
  <si>
    <t>Прочие безвозмездные поступления</t>
  </si>
  <si>
    <t>000 2 07 00000 00 0000 180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</si>
  <si>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</si>
  <si>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</si>
  <si>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</si>
  <si>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</si>
  <si>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Расходы бюджета - всего: &lt;*&gt;</t>
  </si>
  <si>
    <t>Оплата труда, начисления на выплаты по оплате труда</t>
  </si>
  <si>
    <t>в том числе:</t>
  </si>
  <si>
    <t>Доведение минимального размера оплаты труда до ____ рублей</t>
  </si>
  <si>
    <t>Остальные расходы на оплату труда, начисления на выплаты по оплате труда</t>
  </si>
  <si>
    <t>Расходы в разрезе классификаций операций сектора государственного управления</t>
  </si>
  <si>
    <t>Результат исполнения бюджета (дефицит "-", профицит "+")</t>
  </si>
  <si>
    <t>&lt;*&gt; Расходы местного бюджета отражаются с учетом отражения расходов бюджетных и автономных учреждений по соответствующим классификациям операций сектора государственного управления.</t>
  </si>
  <si>
    <t>ФОРМА
оценки ожидаемого исполнения местного бюджета на текущий
финансовый год и плановый период</t>
  </si>
  <si>
    <t>Плановые назначения на первый год планового периода</t>
  </si>
  <si>
    <t>Плановые назначения на второй год планового периода</t>
  </si>
  <si>
    <t>Заработная плата</t>
  </si>
  <si>
    <t>Прочие несоциальные выплаты персоналу в денежной форме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</si>
  <si>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</si>
  <si>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</si>
  <si>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</si>
  <si>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</si>
  <si>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</si>
  <si>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</si>
  <si>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Прочие работы, услуги</t>
  </si>
  <si>
    <t>Страхование</t>
  </si>
  <si>
    <t>Обслуживание внутреннего долга</t>
  </si>
  <si>
    <t>Безвозмездные перечисления (передачи) текущего характера сектора государственного управления</t>
  </si>
  <si>
    <t>Безвозмездные перечисления финансовым организациям государственного сектора на производство</t>
  </si>
  <si>
    <t>Безвозмездные перечисления иным финансовым организациям (за исключением финансовых организаций государственного сектора) на производство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</si>
  <si>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</si>
  <si>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Перечисления другим бюджетам бюджетной системы Российской Федерации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</si>
  <si>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</si>
  <si>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</si>
  <si>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</si>
  <si>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</si>
  <si>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Налоги, пошлины и сборы</t>
  </si>
  <si>
    <t>Штрафы за нарушение законодательства о налогах и сборах, законодательства о страховых взносах</t>
  </si>
  <si>
    <t>Другие экономические санкции</t>
  </si>
  <si>
    <t>Иные выплаты текущего характера физическим лицам</t>
  </si>
  <si>
    <t>Иные выплаты текущего характера организациям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</si>
  <si>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</si>
  <si>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</si>
  <si>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</si>
  <si>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</si>
  <si>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величение стоимости мягкого инвентаря</t>
  </si>
  <si>
    <t>Увеличение стоимости прочих материальных запасов</t>
  </si>
  <si>
    <t>Увеличение стоимости прочих материальных запасов однократного применения</t>
  </si>
  <si>
    <t>Увеличение стоимости основных средств</t>
  </si>
  <si>
    <t>Услуги, работы для целей капитальных вложений</t>
  </si>
  <si>
    <t>Увеличение стоимости акций и иных финансовых инструментов</t>
  </si>
  <si>
    <t>Уменьшение задолженности по внутренним привлеченным заимствованиям</t>
  </si>
  <si>
    <t>Штрафы за нарушение законодательства о закупках и нарушение условий контрактов (договоров)</t>
  </si>
  <si>
    <t>Увеличение стоимости непроизведенных активов</t>
  </si>
  <si>
    <t>000 2 02 10000 00 0000 151</t>
  </si>
  <si>
    <t>000 2 02 20000 00 0000 151</t>
  </si>
  <si>
    <t>000 2 02 30000 00 0000 151</t>
  </si>
  <si>
    <t>000 2 02 40000 00 0000 151</t>
  </si>
  <si>
    <t>Пособия по социальной помощи, выплачиваемые работодателями, нанимателями бывшим работникам в натуральной форме</t>
  </si>
  <si>
    <t>074 0701 03102S8500 611 074 0702 03102S8500 611  074 0703 03104S8500 611 074 0703 03203S8500 611 092 1403 041И2S8500 540</t>
  </si>
  <si>
    <t>,</t>
  </si>
  <si>
    <t>2022 (ф.317)</t>
  </si>
  <si>
    <t>Индексация оплаты труда, начисление на оплату труда, за исключением работников, оплата труда которых повышается в соответствии с Указами Президента Российской Федерации от 7 мая 2012 года N 597, от 1 июня 2012 года N 761, от 28 декабря 2012 года N 1688, распоряжением Правительства Российской Федерации от 17 октября 2018 года N 2245-р на ___%</t>
  </si>
  <si>
    <t>Достижение целевых значений уровня оплаты труда не ниже предыдущего года отдельных категорий работников бюджетной сферы, установленных Указами Президента Российской Федерации от 7 мая 2012 года N 597, от 1 июня 2012 года N 761, от 28 декабря 2012 года N 1688, распоряжением Правительства Российской Федерации от 17 октября 2018 года N 2245-р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</si>
</sst>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</numFmts>
  <fonts count="8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</cellStyleXfs>
  <cellXfs count="23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5" fillId="0" borderId="1" xfId="2" applyNumberFormat="1" applyFont="1" applyFill="1" applyBorder="1" applyAlignment="1">
      <alignment wrapText="1"/>
    </xf>
    <xf numFmtId="43" fontId="5" fillId="0" borderId="1" xfId="2" applyNumberFormat="1" applyFont="1" applyFill="1" applyBorder="1" applyAlignment="1"/>
    <xf numFmtId="165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0" fontId="7" fillId="0" borderId="1" xfId="1" applyFont="1" applyFill="1" applyBorder="1" applyAlignment="1" applyProtection="1">
      <alignment horizontal="justify" vertical="top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top"/>
    </xf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/>
    <xf numFmtId="0" fontId="2" fillId="0" borderId="0" xfId="0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9"/>
  <sheetViews>
    <sheetView tabSelected="1" zoomScale="118" zoomScaleNormal="118" workbookViewId="0">
      <selection activeCell="M78" sqref="M78"/>
    </sheetView>
  </sheetViews>
  <sheetFormatPr defaultRowHeight="15"/>
  <cols>
    <col min="1" max="1" width="28.42578125" style="6" customWidth="1"/>
    <col min="2" max="2" width="24.28515625" style="6" customWidth="1"/>
    <col min="3" max="3" width="18.140625" style="7" customWidth="1"/>
    <col min="4" max="4" width="15.85546875" style="7" customWidth="1"/>
    <col min="5" max="5" width="16.140625" style="7" customWidth="1"/>
    <col min="6" max="6" width="13" style="7" customWidth="1"/>
    <col min="7" max="7" width="13.28515625" style="7" customWidth="1"/>
    <col min="8" max="8" width="14.42578125" style="7" customWidth="1"/>
    <col min="9" max="9" width="13.42578125" style="7" customWidth="1"/>
    <col min="10" max="10" width="15.28515625" style="7" customWidth="1"/>
    <col min="11" max="11" width="9.140625" style="6"/>
    <col min="12" max="12" width="13.28515625" style="6" customWidth="1"/>
    <col min="13" max="13" width="10" style="6" bestFit="1" customWidth="1"/>
    <col min="14" max="14" width="15.140625" style="6" customWidth="1"/>
    <col min="15" max="15" width="10" style="6" bestFit="1" customWidth="1"/>
    <col min="16" max="16384" width="9.140625" style="6"/>
  </cols>
  <sheetData>
    <row r="1" spans="1:14" ht="57" customHeight="1">
      <c r="A1" s="22" t="s">
        <v>81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hidden="1">
      <c r="C2" s="7" t="s">
        <v>129</v>
      </c>
      <c r="D2" s="8">
        <v>45200</v>
      </c>
      <c r="E2" s="7">
        <v>2023</v>
      </c>
      <c r="F2" s="8">
        <v>45200</v>
      </c>
      <c r="G2" s="7">
        <v>2024</v>
      </c>
      <c r="I2" s="7">
        <v>2025</v>
      </c>
      <c r="J2" s="7">
        <v>2026</v>
      </c>
    </row>
    <row r="3" spans="1:14" ht="183" customHeight="1">
      <c r="A3" s="9" t="s">
        <v>0</v>
      </c>
      <c r="B3" s="9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82</v>
      </c>
      <c r="J3" s="2" t="s">
        <v>83</v>
      </c>
      <c r="N3" s="10"/>
    </row>
    <row r="4" spans="1:14">
      <c r="A4" s="11" t="s">
        <v>8</v>
      </c>
      <c r="B4" s="12"/>
      <c r="C4" s="13">
        <f>C5+C29</f>
        <v>609483.62599999993</v>
      </c>
      <c r="D4" s="13">
        <f>D5+D29</f>
        <v>816672.02</v>
      </c>
      <c r="E4" s="13">
        <f>E5+E29</f>
        <v>819820.74</v>
      </c>
      <c r="F4" s="13">
        <f>E4/D4*100</f>
        <v>100.38555502366788</v>
      </c>
      <c r="G4" s="13">
        <f>G5+G29</f>
        <v>676594.29999999993</v>
      </c>
      <c r="H4" s="13">
        <f t="shared" ref="H4:H33" si="0">G4/E4*100</f>
        <v>82.529541762995635</v>
      </c>
      <c r="I4" s="13">
        <f>I5+I29</f>
        <v>546697.89999999991</v>
      </c>
      <c r="J4" s="13">
        <f>J5+J29</f>
        <v>580427</v>
      </c>
      <c r="L4" s="14"/>
    </row>
    <row r="5" spans="1:14" ht="75">
      <c r="A5" s="11" t="s">
        <v>9</v>
      </c>
      <c r="B5" s="12"/>
      <c r="C5" s="1">
        <f>C6+C7+C8+C13+C19+C20+C21+C22+C23+C24+C25+C27+C28</f>
        <v>234267.266</v>
      </c>
      <c r="D5" s="1">
        <f>D6+D7+D8+D13+D19+D20+D21+D22+D23+D24+D25+D27+D28</f>
        <v>259088.84000000003</v>
      </c>
      <c r="E5" s="1">
        <f>E6+E7+E8+E13+E19+E20+E21+E22+E23+E24+E25+E27+E28</f>
        <v>261743.86000000002</v>
      </c>
      <c r="F5" s="1">
        <f>E5/D5*100</f>
        <v>101.02475274504297</v>
      </c>
      <c r="G5" s="1">
        <f>G6+G7+G8+G13+G19+G20+G22+G23+G24+G25+G27</f>
        <v>298983.7</v>
      </c>
      <c r="H5" s="1">
        <f>G5/E5*100</f>
        <v>114.22758875795596</v>
      </c>
      <c r="I5" s="1">
        <f>I6+I7+I8+I13+I19+I20+I22+I23+I24+I25+I27</f>
        <v>301192.49999999994</v>
      </c>
      <c r="J5" s="1">
        <f>J6+J7+J8+J13+J19+J20+J22+J23+J24+J25+J27</f>
        <v>315315.19999999995</v>
      </c>
    </row>
    <row r="6" spans="1:14" ht="30">
      <c r="A6" s="11" t="s">
        <v>10</v>
      </c>
      <c r="B6" s="9" t="s">
        <v>11</v>
      </c>
      <c r="C6" s="1">
        <v>86155.89</v>
      </c>
      <c r="D6" s="1">
        <v>100700</v>
      </c>
      <c r="E6" s="1">
        <v>100700</v>
      </c>
      <c r="F6" s="1">
        <f>E6/D6*100</f>
        <v>100</v>
      </c>
      <c r="G6" s="1">
        <v>121249.5</v>
      </c>
      <c r="H6" s="1">
        <f t="shared" si="0"/>
        <v>120.40665342601788</v>
      </c>
      <c r="I6" s="1">
        <v>131002.6</v>
      </c>
      <c r="J6" s="1">
        <v>141920.20000000001</v>
      </c>
    </row>
    <row r="7" spans="1:14" ht="60">
      <c r="A7" s="11" t="s">
        <v>12</v>
      </c>
      <c r="B7" s="9" t="s">
        <v>13</v>
      </c>
      <c r="C7" s="1">
        <v>6723.99</v>
      </c>
      <c r="D7" s="1">
        <v>7109.6</v>
      </c>
      <c r="E7" s="1">
        <v>7109.6</v>
      </c>
      <c r="F7" s="1">
        <f>E7/D7*100</f>
        <v>100</v>
      </c>
      <c r="G7" s="1">
        <v>7183.3</v>
      </c>
      <c r="H7" s="1">
        <f t="shared" si="0"/>
        <v>101.0366265331383</v>
      </c>
      <c r="I7" s="1">
        <v>7550.3</v>
      </c>
      <c r="J7" s="1">
        <v>7863.2</v>
      </c>
    </row>
    <row r="8" spans="1:14">
      <c r="A8" s="11" t="s">
        <v>14</v>
      </c>
      <c r="B8" s="9" t="s">
        <v>15</v>
      </c>
      <c r="C8" s="1">
        <f>C9+C10+C11+C12</f>
        <v>76307.87</v>
      </c>
      <c r="D8" s="1">
        <f t="shared" ref="D8:J8" si="1">D9+D10+D11+D12</f>
        <v>95497.2</v>
      </c>
      <c r="E8" s="1">
        <f t="shared" si="1"/>
        <v>95517.2</v>
      </c>
      <c r="F8" s="1">
        <f t="shared" ref="F8:F38" si="2">E8/D8*100</f>
        <v>100.02094302241322</v>
      </c>
      <c r="G8" s="1">
        <f t="shared" si="1"/>
        <v>100510.8</v>
      </c>
      <c r="H8" s="1">
        <f t="shared" si="0"/>
        <v>105.22795894352012</v>
      </c>
      <c r="I8" s="1">
        <f t="shared" si="1"/>
        <v>104530.4</v>
      </c>
      <c r="J8" s="1">
        <f t="shared" si="1"/>
        <v>108711.9</v>
      </c>
    </row>
    <row r="9" spans="1:14" ht="45">
      <c r="A9" s="11" t="s">
        <v>16</v>
      </c>
      <c r="B9" s="9" t="s">
        <v>17</v>
      </c>
      <c r="C9" s="1">
        <v>70525.63</v>
      </c>
      <c r="D9" s="1">
        <v>89613</v>
      </c>
      <c r="E9" s="1">
        <v>89613</v>
      </c>
      <c r="F9" s="1">
        <f t="shared" si="2"/>
        <v>100</v>
      </c>
      <c r="G9" s="1">
        <v>93962</v>
      </c>
      <c r="H9" s="1">
        <f t="shared" si="0"/>
        <v>104.85309051142133</v>
      </c>
      <c r="I9" s="1">
        <v>97720</v>
      </c>
      <c r="J9" s="1">
        <v>101629</v>
      </c>
    </row>
    <row r="10" spans="1:14" ht="45">
      <c r="A10" s="11" t="s">
        <v>18</v>
      </c>
      <c r="B10" s="9" t="s">
        <v>19</v>
      </c>
      <c r="C10" s="1">
        <v>-10.59</v>
      </c>
      <c r="D10" s="1">
        <v>0</v>
      </c>
      <c r="E10" s="1">
        <v>18</v>
      </c>
      <c r="F10" s="1" t="e">
        <f t="shared" si="2"/>
        <v>#DIV/0!</v>
      </c>
      <c r="G10" s="1">
        <v>0</v>
      </c>
      <c r="H10" s="1">
        <f t="shared" si="0"/>
        <v>0</v>
      </c>
      <c r="I10" s="1"/>
      <c r="J10" s="1"/>
    </row>
    <row r="11" spans="1:14" ht="30">
      <c r="A11" s="11" t="s">
        <v>20</v>
      </c>
      <c r="B11" s="9" t="s">
        <v>21</v>
      </c>
      <c r="C11" s="1">
        <v>3.79</v>
      </c>
      <c r="D11" s="1">
        <v>12.2</v>
      </c>
      <c r="E11" s="1">
        <v>14.2</v>
      </c>
      <c r="F11" s="1">
        <f t="shared" si="2"/>
        <v>116.39344262295081</v>
      </c>
      <c r="G11" s="1">
        <v>13.8</v>
      </c>
      <c r="H11" s="1">
        <f t="shared" si="0"/>
        <v>97.18309859154931</v>
      </c>
      <c r="I11" s="1">
        <v>14.4</v>
      </c>
      <c r="J11" s="1">
        <v>14.9</v>
      </c>
    </row>
    <row r="12" spans="1:14" ht="45">
      <c r="A12" s="11" t="s">
        <v>22</v>
      </c>
      <c r="B12" s="9" t="s">
        <v>23</v>
      </c>
      <c r="C12" s="1">
        <v>5789.04</v>
      </c>
      <c r="D12" s="1">
        <v>5872</v>
      </c>
      <c r="E12" s="1">
        <v>5872</v>
      </c>
      <c r="F12" s="1">
        <f t="shared" si="2"/>
        <v>100</v>
      </c>
      <c r="G12" s="1">
        <v>6535</v>
      </c>
      <c r="H12" s="1">
        <f t="shared" si="0"/>
        <v>111.29087193460489</v>
      </c>
      <c r="I12" s="1">
        <v>6796</v>
      </c>
      <c r="J12" s="1">
        <v>7068</v>
      </c>
    </row>
    <row r="13" spans="1:14">
      <c r="A13" s="11" t="s">
        <v>24</v>
      </c>
      <c r="B13" s="9" t="s">
        <v>25</v>
      </c>
      <c r="C13" s="1">
        <f>C15</f>
        <v>16653.939999999999</v>
      </c>
      <c r="D13" s="1">
        <f>D15</f>
        <v>15522.7</v>
      </c>
      <c r="E13" s="1">
        <f>E15</f>
        <v>15522.7</v>
      </c>
      <c r="F13" s="1">
        <f t="shared" si="2"/>
        <v>100</v>
      </c>
      <c r="G13" s="1">
        <f>G15</f>
        <v>22155.7</v>
      </c>
      <c r="H13" s="1">
        <f t="shared" si="0"/>
        <v>142.7309681949661</v>
      </c>
      <c r="I13" s="1">
        <f t="shared" ref="I13:J13" si="3">I15</f>
        <v>23042</v>
      </c>
      <c r="J13" s="1">
        <f t="shared" si="3"/>
        <v>23963.7</v>
      </c>
    </row>
    <row r="14" spans="1:14" ht="30">
      <c r="A14" s="11" t="s">
        <v>26</v>
      </c>
      <c r="B14" s="9" t="s">
        <v>27</v>
      </c>
      <c r="C14" s="1"/>
      <c r="D14" s="1"/>
      <c r="E14" s="1"/>
      <c r="F14" s="1" t="e">
        <f t="shared" si="2"/>
        <v>#DIV/0!</v>
      </c>
      <c r="G14" s="1"/>
      <c r="H14" s="1" t="e">
        <f t="shared" si="0"/>
        <v>#DIV/0!</v>
      </c>
      <c r="I14" s="1"/>
      <c r="J14" s="1"/>
    </row>
    <row r="15" spans="1:14" ht="30">
      <c r="A15" s="11" t="s">
        <v>28</v>
      </c>
      <c r="B15" s="9" t="s">
        <v>29</v>
      </c>
      <c r="C15" s="1">
        <v>16653.939999999999</v>
      </c>
      <c r="D15" s="1">
        <v>15522.7</v>
      </c>
      <c r="E15" s="1">
        <v>15522.7</v>
      </c>
      <c r="F15" s="1">
        <f t="shared" si="2"/>
        <v>100</v>
      </c>
      <c r="G15" s="1">
        <v>22155.7</v>
      </c>
      <c r="H15" s="1">
        <f t="shared" si="0"/>
        <v>142.7309681949661</v>
      </c>
      <c r="I15" s="1">
        <v>23042</v>
      </c>
      <c r="J15" s="1">
        <v>23963.7</v>
      </c>
    </row>
    <row r="16" spans="1:14">
      <c r="A16" s="11" t="s">
        <v>30</v>
      </c>
      <c r="B16" s="9" t="s">
        <v>31</v>
      </c>
      <c r="C16" s="1"/>
      <c r="D16" s="1"/>
      <c r="E16" s="1"/>
      <c r="F16" s="1" t="e">
        <f t="shared" si="2"/>
        <v>#DIV/0!</v>
      </c>
      <c r="G16" s="1"/>
      <c r="H16" s="1" t="e">
        <f t="shared" si="0"/>
        <v>#DIV/0!</v>
      </c>
      <c r="I16" s="1"/>
      <c r="J16" s="1"/>
    </row>
    <row r="17" spans="1:10" ht="30">
      <c r="A17" s="11" t="s">
        <v>32</v>
      </c>
      <c r="B17" s="9" t="s">
        <v>33</v>
      </c>
      <c r="C17" s="1"/>
      <c r="D17" s="1"/>
      <c r="E17" s="1"/>
      <c r="F17" s="1" t="e">
        <f t="shared" si="2"/>
        <v>#DIV/0!</v>
      </c>
      <c r="G17" s="1"/>
      <c r="H17" s="1" t="e">
        <f t="shared" si="0"/>
        <v>#DIV/0!</v>
      </c>
      <c r="I17" s="1"/>
      <c r="J17" s="1"/>
    </row>
    <row r="18" spans="1:10" ht="30">
      <c r="A18" s="11" t="s">
        <v>34</v>
      </c>
      <c r="B18" s="9" t="s">
        <v>35</v>
      </c>
      <c r="C18" s="1"/>
      <c r="D18" s="1"/>
      <c r="E18" s="1"/>
      <c r="F18" s="1" t="e">
        <f t="shared" si="2"/>
        <v>#DIV/0!</v>
      </c>
      <c r="G18" s="1"/>
      <c r="H18" s="1" t="e">
        <f t="shared" si="0"/>
        <v>#DIV/0!</v>
      </c>
      <c r="I18" s="1"/>
      <c r="J18" s="1"/>
    </row>
    <row r="19" spans="1:10" ht="45">
      <c r="A19" s="11" t="s">
        <v>36</v>
      </c>
      <c r="B19" s="9" t="s">
        <v>37</v>
      </c>
      <c r="C19" s="1">
        <v>689.13</v>
      </c>
      <c r="D19" s="1">
        <v>2000</v>
      </c>
      <c r="E19" s="1">
        <v>2500</v>
      </c>
      <c r="F19" s="1">
        <f t="shared" si="2"/>
        <v>125</v>
      </c>
      <c r="G19" s="1">
        <v>2616</v>
      </c>
      <c r="H19" s="1">
        <f t="shared" si="0"/>
        <v>104.64</v>
      </c>
      <c r="I19" s="1">
        <v>2720</v>
      </c>
      <c r="J19" s="1">
        <v>2829</v>
      </c>
    </row>
    <row r="20" spans="1:10">
      <c r="A20" s="11" t="s">
        <v>38</v>
      </c>
      <c r="B20" s="9" t="s">
        <v>39</v>
      </c>
      <c r="C20" s="1">
        <v>2593.15</v>
      </c>
      <c r="D20" s="1">
        <v>3125</v>
      </c>
      <c r="E20" s="1">
        <v>3125</v>
      </c>
      <c r="F20" s="1">
        <f t="shared" si="2"/>
        <v>100</v>
      </c>
      <c r="G20" s="1">
        <v>3294</v>
      </c>
      <c r="H20" s="1">
        <f t="shared" si="0"/>
        <v>105.40799999999999</v>
      </c>
      <c r="I20" s="1">
        <v>3272</v>
      </c>
      <c r="J20" s="1">
        <v>3402</v>
      </c>
    </row>
    <row r="21" spans="1:10" ht="75">
      <c r="A21" s="11" t="s">
        <v>40</v>
      </c>
      <c r="B21" s="9" t="s">
        <v>41</v>
      </c>
      <c r="C21" s="1">
        <v>6.0000000000000001E-3</v>
      </c>
      <c r="D21" s="1">
        <v>0</v>
      </c>
      <c r="E21" s="1">
        <v>0.02</v>
      </c>
      <c r="F21" s="1" t="e">
        <f t="shared" si="2"/>
        <v>#DIV/0!</v>
      </c>
      <c r="G21" s="1"/>
      <c r="H21" s="1">
        <f t="shared" si="0"/>
        <v>0</v>
      </c>
      <c r="I21" s="1"/>
      <c r="J21" s="1"/>
    </row>
    <row r="22" spans="1:10" ht="75">
      <c r="A22" s="11" t="s">
        <v>42</v>
      </c>
      <c r="B22" s="9" t="s">
        <v>43</v>
      </c>
      <c r="C22" s="1">
        <v>24850.32</v>
      </c>
      <c r="D22" s="1">
        <v>19509.2</v>
      </c>
      <c r="E22" s="1">
        <v>20009.2</v>
      </c>
      <c r="F22" s="1">
        <f t="shared" si="2"/>
        <v>102.56289340413754</v>
      </c>
      <c r="G22" s="1">
        <v>19032.599999999999</v>
      </c>
      <c r="H22" s="1">
        <f t="shared" si="0"/>
        <v>95.119245147232263</v>
      </c>
      <c r="I22" s="1">
        <v>17332.599999999999</v>
      </c>
      <c r="J22" s="1">
        <v>16032.6</v>
      </c>
    </row>
    <row r="23" spans="1:10" ht="30">
      <c r="A23" s="11" t="s">
        <v>44</v>
      </c>
      <c r="B23" s="9" t="s">
        <v>45</v>
      </c>
      <c r="C23" s="1">
        <v>123.84</v>
      </c>
      <c r="D23" s="1">
        <v>1200</v>
      </c>
      <c r="E23" s="1">
        <v>1200</v>
      </c>
      <c r="F23" s="1">
        <f t="shared" si="2"/>
        <v>100</v>
      </c>
      <c r="G23" s="1">
        <v>342.6</v>
      </c>
      <c r="H23" s="1">
        <f t="shared" si="0"/>
        <v>28.550000000000004</v>
      </c>
      <c r="I23" s="1">
        <v>342.6</v>
      </c>
      <c r="J23" s="1">
        <v>342.6</v>
      </c>
    </row>
    <row r="24" spans="1:10" ht="45">
      <c r="A24" s="11" t="s">
        <v>46</v>
      </c>
      <c r="B24" s="9" t="s">
        <v>47</v>
      </c>
      <c r="C24" s="1">
        <v>1703.2</v>
      </c>
      <c r="D24" s="1">
        <v>1280.23</v>
      </c>
      <c r="E24" s="1">
        <v>1280.23</v>
      </c>
      <c r="F24" s="1">
        <f t="shared" si="2"/>
        <v>100</v>
      </c>
      <c r="G24" s="1">
        <v>0</v>
      </c>
      <c r="H24" s="1">
        <f t="shared" si="0"/>
        <v>0</v>
      </c>
      <c r="I24" s="1">
        <v>0</v>
      </c>
      <c r="J24" s="1">
        <v>0</v>
      </c>
    </row>
    <row r="25" spans="1:10" ht="45">
      <c r="A25" s="11" t="s">
        <v>48</v>
      </c>
      <c r="B25" s="9" t="s">
        <v>49</v>
      </c>
      <c r="C25" s="1">
        <v>15174.62</v>
      </c>
      <c r="D25" s="1">
        <v>8590</v>
      </c>
      <c r="E25" s="1">
        <v>10225</v>
      </c>
      <c r="F25" s="1">
        <f t="shared" si="2"/>
        <v>119.03376018626311</v>
      </c>
      <c r="G25" s="1">
        <v>17599.2</v>
      </c>
      <c r="H25" s="1">
        <f t="shared" si="0"/>
        <v>172.119315403423</v>
      </c>
      <c r="I25" s="1">
        <v>6200</v>
      </c>
      <c r="J25" s="1">
        <v>4850</v>
      </c>
    </row>
    <row r="26" spans="1:10" ht="30">
      <c r="A26" s="11" t="s">
        <v>50</v>
      </c>
      <c r="B26" s="9" t="s">
        <v>51</v>
      </c>
      <c r="C26" s="1"/>
      <c r="D26" s="1"/>
      <c r="E26" s="1"/>
      <c r="F26" s="1" t="e">
        <f t="shared" si="2"/>
        <v>#DIV/0!</v>
      </c>
      <c r="G26" s="1"/>
      <c r="H26" s="1" t="e">
        <f t="shared" si="0"/>
        <v>#DIV/0!</v>
      </c>
      <c r="I26" s="1"/>
      <c r="J26" s="1"/>
    </row>
    <row r="27" spans="1:10" ht="30">
      <c r="A27" s="11" t="s">
        <v>52</v>
      </c>
      <c r="B27" s="9" t="s">
        <v>53</v>
      </c>
      <c r="C27" s="1">
        <v>3337.51</v>
      </c>
      <c r="D27" s="1">
        <v>4300</v>
      </c>
      <c r="E27" s="1">
        <v>4300</v>
      </c>
      <c r="F27" s="1">
        <f t="shared" si="2"/>
        <v>100</v>
      </c>
      <c r="G27" s="1">
        <v>5000</v>
      </c>
      <c r="H27" s="1">
        <f t="shared" si="0"/>
        <v>116.27906976744187</v>
      </c>
      <c r="I27" s="1">
        <v>5200</v>
      </c>
      <c r="J27" s="1">
        <v>5400</v>
      </c>
    </row>
    <row r="28" spans="1:10">
      <c r="A28" s="11" t="s">
        <v>54</v>
      </c>
      <c r="B28" s="9" t="s">
        <v>55</v>
      </c>
      <c r="C28" s="1">
        <v>-46.2</v>
      </c>
      <c r="D28" s="1">
        <v>254.91</v>
      </c>
      <c r="E28" s="1">
        <v>254.91</v>
      </c>
      <c r="F28" s="1">
        <f t="shared" si="2"/>
        <v>100</v>
      </c>
      <c r="G28" s="1">
        <v>0</v>
      </c>
      <c r="H28" s="1">
        <f t="shared" si="0"/>
        <v>0</v>
      </c>
      <c r="I28" s="1">
        <v>0</v>
      </c>
      <c r="J28" s="1">
        <v>0</v>
      </c>
    </row>
    <row r="29" spans="1:10">
      <c r="A29" s="11" t="s">
        <v>56</v>
      </c>
      <c r="B29" s="9" t="s">
        <v>57</v>
      </c>
      <c r="C29" s="1">
        <f>C30+C38+C39</f>
        <v>375216.36</v>
      </c>
      <c r="D29" s="1">
        <f>D30+D38+D39+D35</f>
        <v>557583.18000000005</v>
      </c>
      <c r="E29" s="1">
        <f>E30+E38+E39+E35</f>
        <v>558076.88</v>
      </c>
      <c r="F29" s="1">
        <f t="shared" si="2"/>
        <v>100.08854284306064</v>
      </c>
      <c r="G29" s="1">
        <f>G30+G38+G39</f>
        <v>377610.59999999992</v>
      </c>
      <c r="H29" s="1">
        <f t="shared" si="0"/>
        <v>67.662828103540136</v>
      </c>
      <c r="I29" s="1">
        <f t="shared" ref="I29:J29" si="4">I30+I38+I39</f>
        <v>245505.4</v>
      </c>
      <c r="J29" s="1">
        <f t="shared" si="4"/>
        <v>265111.8</v>
      </c>
    </row>
    <row r="30" spans="1:10" ht="60">
      <c r="A30" s="11" t="s">
        <v>58</v>
      </c>
      <c r="B30" s="9" t="s">
        <v>59</v>
      </c>
      <c r="C30" s="1">
        <f>C31+C32+C33+C34</f>
        <v>348044.63</v>
      </c>
      <c r="D30" s="1">
        <f>D31+D32+D33+D34</f>
        <v>484152.58</v>
      </c>
      <c r="E30" s="1">
        <f>E31+E32+E33+E34</f>
        <v>484646.28</v>
      </c>
      <c r="F30" s="1">
        <f t="shared" si="2"/>
        <v>100.10197198577357</v>
      </c>
      <c r="G30" s="1">
        <f>G31+G32+G33+G34</f>
        <v>377610.59999999992</v>
      </c>
      <c r="H30" s="1">
        <f t="shared" si="0"/>
        <v>77.914680372662687</v>
      </c>
      <c r="I30" s="1">
        <f t="shared" ref="I30:J30" si="5">I31+I32+I33+I34</f>
        <v>245505.4</v>
      </c>
      <c r="J30" s="1">
        <f t="shared" si="5"/>
        <v>265111.8</v>
      </c>
    </row>
    <row r="31" spans="1:10" ht="75">
      <c r="A31" s="11" t="s">
        <v>60</v>
      </c>
      <c r="B31" s="9" t="s">
        <v>122</v>
      </c>
      <c r="C31" s="1">
        <v>87676.9</v>
      </c>
      <c r="D31" s="1">
        <v>92077.6</v>
      </c>
      <c r="E31" s="1">
        <v>93044.55</v>
      </c>
      <c r="F31" s="1">
        <f t="shared" si="2"/>
        <v>101.05014683267157</v>
      </c>
      <c r="G31" s="1">
        <v>92829.2</v>
      </c>
      <c r="H31" s="1">
        <f t="shared" si="0"/>
        <v>99.768551731401772</v>
      </c>
      <c r="I31" s="1">
        <v>72988.2</v>
      </c>
      <c r="J31" s="1">
        <v>72988.2</v>
      </c>
    </row>
    <row r="32" spans="1:10" ht="90">
      <c r="A32" s="11" t="s">
        <v>61</v>
      </c>
      <c r="B32" s="9" t="s">
        <v>123</v>
      </c>
      <c r="C32" s="1">
        <v>32480.22</v>
      </c>
      <c r="D32" s="1">
        <v>156469.57999999999</v>
      </c>
      <c r="E32" s="1">
        <v>152990.32999999999</v>
      </c>
      <c r="F32" s="1">
        <f t="shared" si="2"/>
        <v>97.776404844954527</v>
      </c>
      <c r="G32" s="1">
        <v>63933.600000000006</v>
      </c>
      <c r="H32" s="1">
        <f t="shared" si="0"/>
        <v>41.789307860176528</v>
      </c>
      <c r="I32" s="1">
        <v>12595.9</v>
      </c>
      <c r="J32" s="5">
        <v>12519.1</v>
      </c>
    </row>
    <row r="33" spans="1:14" ht="75">
      <c r="A33" s="11" t="s">
        <v>62</v>
      </c>
      <c r="B33" s="9" t="s">
        <v>124</v>
      </c>
      <c r="C33" s="1">
        <v>201582.52</v>
      </c>
      <c r="D33" s="1">
        <v>211076</v>
      </c>
      <c r="E33" s="1">
        <v>214082</v>
      </c>
      <c r="F33" s="1">
        <f>E33/D33*100</f>
        <v>101.42413159241221</v>
      </c>
      <c r="G33" s="1">
        <v>199461.99999999997</v>
      </c>
      <c r="H33" s="1">
        <f t="shared" si="0"/>
        <v>93.17084107958631</v>
      </c>
      <c r="I33" s="1">
        <v>138893.20000000001</v>
      </c>
      <c r="J33" s="1">
        <v>159164.29999999999</v>
      </c>
    </row>
    <row r="34" spans="1:14" ht="30">
      <c r="A34" s="11" t="s">
        <v>63</v>
      </c>
      <c r="B34" s="9" t="s">
        <v>125</v>
      </c>
      <c r="C34" s="1">
        <v>26304.99</v>
      </c>
      <c r="D34" s="1">
        <v>24529.4</v>
      </c>
      <c r="E34" s="1">
        <v>24529.4</v>
      </c>
      <c r="F34" s="1">
        <f t="shared" si="2"/>
        <v>100</v>
      </c>
      <c r="G34" s="1">
        <v>21385.8</v>
      </c>
      <c r="H34" s="1">
        <f>G34/E34*100</f>
        <v>87.184358361802566</v>
      </c>
      <c r="I34" s="1">
        <v>21028.1</v>
      </c>
      <c r="J34" s="1">
        <v>20440.2</v>
      </c>
    </row>
    <row r="35" spans="1:14" ht="60">
      <c r="A35" s="11" t="s">
        <v>64</v>
      </c>
      <c r="B35" s="9" t="s">
        <v>65</v>
      </c>
      <c r="C35" s="1"/>
      <c r="D35" s="1">
        <v>3015.24</v>
      </c>
      <c r="E35" s="1">
        <v>3015.24</v>
      </c>
      <c r="F35" s="1">
        <f t="shared" si="2"/>
        <v>100</v>
      </c>
      <c r="G35" s="1"/>
      <c r="H35" s="1"/>
      <c r="I35" s="1"/>
      <c r="J35" s="1"/>
    </row>
    <row r="36" spans="1:14" ht="75">
      <c r="A36" s="11" t="s">
        <v>66</v>
      </c>
      <c r="B36" s="12"/>
      <c r="C36" s="1"/>
      <c r="D36" s="1"/>
      <c r="E36" s="1"/>
      <c r="F36" s="1" t="e">
        <f t="shared" si="2"/>
        <v>#DIV/0!</v>
      </c>
      <c r="G36" s="1"/>
      <c r="H36" s="1"/>
      <c r="I36" s="1"/>
      <c r="J36" s="1"/>
    </row>
    <row r="37" spans="1:14" ht="30">
      <c r="A37" s="11" t="s">
        <v>67</v>
      </c>
      <c r="B37" s="9" t="s">
        <v>68</v>
      </c>
      <c r="C37" s="1">
        <v>0</v>
      </c>
      <c r="D37" s="1">
        <v>0</v>
      </c>
      <c r="E37" s="1"/>
      <c r="F37" s="1" t="e">
        <f t="shared" si="2"/>
        <v>#DIV/0!</v>
      </c>
      <c r="G37" s="1"/>
      <c r="H37" s="1"/>
      <c r="I37" s="1"/>
      <c r="J37" s="1"/>
    </row>
    <row r="38" spans="1:14" ht="180">
      <c r="A38" s="11" t="s">
        <v>69</v>
      </c>
      <c r="B38" s="9" t="s">
        <v>70</v>
      </c>
      <c r="C38" s="1">
        <v>31730.86</v>
      </c>
      <c r="D38" s="1">
        <v>71627.710000000006</v>
      </c>
      <c r="E38" s="1">
        <v>71627.710000000006</v>
      </c>
      <c r="F38" s="1">
        <f t="shared" si="2"/>
        <v>100</v>
      </c>
      <c r="G38" s="1"/>
      <c r="H38" s="1"/>
      <c r="I38" s="1"/>
      <c r="J38" s="1"/>
    </row>
    <row r="39" spans="1:14" ht="90">
      <c r="A39" s="11" t="s">
        <v>71</v>
      </c>
      <c r="B39" s="9" t="s">
        <v>72</v>
      </c>
      <c r="C39" s="1">
        <v>-4559.13</v>
      </c>
      <c r="D39" s="1">
        <v>-1212.3499999999999</v>
      </c>
      <c r="E39" s="1">
        <v>-1212.3499999999999</v>
      </c>
      <c r="F39" s="1"/>
      <c r="G39" s="1"/>
      <c r="H39" s="1"/>
      <c r="I39" s="1"/>
      <c r="J39" s="1"/>
    </row>
    <row r="40" spans="1:14" ht="32.25" customHeight="1">
      <c r="A40" s="15" t="s">
        <v>73</v>
      </c>
      <c r="B40" s="12"/>
      <c r="C40" s="13">
        <v>721046.41</v>
      </c>
      <c r="D40" s="13">
        <v>851579.14</v>
      </c>
      <c r="E40" s="13">
        <f>D40+2027.7+966.95+3006+2126.71-5014.3+35.66</f>
        <v>854727.85999999987</v>
      </c>
      <c r="F40" s="13">
        <f t="shared" ref="F40" si="6">E40/D40*100</f>
        <v>100.36975071982151</v>
      </c>
      <c r="G40" s="13">
        <f>G4</f>
        <v>676594.29999999993</v>
      </c>
      <c r="H40" s="13">
        <f>G40/E40*100</f>
        <v>79.159031975393901</v>
      </c>
      <c r="I40" s="13">
        <f>I4</f>
        <v>546697.89999999991</v>
      </c>
      <c r="J40" s="13">
        <f>J4</f>
        <v>580427</v>
      </c>
      <c r="N40" s="14"/>
    </row>
    <row r="41" spans="1:14" ht="30">
      <c r="A41" s="11" t="s">
        <v>74</v>
      </c>
      <c r="B41" s="2"/>
      <c r="C41" s="1">
        <v>394645.38</v>
      </c>
      <c r="D41" s="1">
        <v>427452.84</v>
      </c>
      <c r="E41" s="1">
        <f>D41+2027.7+966.95+3006+2126.71-5014.3+35.66</f>
        <v>430601.56000000006</v>
      </c>
      <c r="F41" s="1">
        <f t="shared" ref="F41" si="7">E41/D41*100</f>
        <v>100.73662395131122</v>
      </c>
      <c r="G41" s="1">
        <v>448371.3</v>
      </c>
      <c r="H41" s="1">
        <f>G41/E41*100</f>
        <v>104.12672448283745</v>
      </c>
      <c r="I41" s="1">
        <v>387576.1</v>
      </c>
      <c r="J41" s="1">
        <v>408002.6</v>
      </c>
    </row>
    <row r="42" spans="1:14">
      <c r="A42" s="11" t="s">
        <v>75</v>
      </c>
      <c r="B42" s="12"/>
      <c r="C42" s="1"/>
      <c r="D42" s="1"/>
      <c r="E42" s="1"/>
      <c r="F42" s="1"/>
      <c r="G42" s="1"/>
      <c r="H42" s="1"/>
      <c r="I42" s="1"/>
      <c r="J42" s="1"/>
      <c r="L42" s="1"/>
    </row>
    <row r="43" spans="1:14" ht="210">
      <c r="A43" s="11" t="s">
        <v>130</v>
      </c>
      <c r="B43" s="16"/>
      <c r="C43" s="17"/>
      <c r="D43" s="17"/>
      <c r="E43" s="1"/>
      <c r="F43" s="1" t="e">
        <f t="shared" ref="F43:F86" si="8">E43/D43*100</f>
        <v>#DIV/0!</v>
      </c>
      <c r="G43" s="1"/>
      <c r="H43" s="1" t="e">
        <f>G43/E43*100</f>
        <v>#DIV/0!</v>
      </c>
      <c r="I43" s="1"/>
      <c r="J43" s="1"/>
    </row>
    <row r="44" spans="1:14" ht="225">
      <c r="A44" s="11" t="s">
        <v>131</v>
      </c>
      <c r="B44" s="2"/>
      <c r="C44" s="1">
        <f>1247.6+2323.2</f>
        <v>3570.7999999999997</v>
      </c>
      <c r="D44" s="1">
        <f>190.8+156.2</f>
        <v>347</v>
      </c>
      <c r="E44" s="1">
        <v>2027.7</v>
      </c>
      <c r="F44" s="1">
        <f t="shared" si="8"/>
        <v>584.35158501440924</v>
      </c>
      <c r="G44" s="1"/>
      <c r="H44" s="1">
        <f t="shared" ref="H44:H87" si="9">G44/E44*100</f>
        <v>0</v>
      </c>
      <c r="I44" s="1"/>
      <c r="J44" s="1"/>
    </row>
    <row r="45" spans="1:14" ht="75">
      <c r="A45" s="11" t="s">
        <v>76</v>
      </c>
      <c r="B45" s="12" t="s">
        <v>127</v>
      </c>
      <c r="C45" s="1">
        <v>15850.6</v>
      </c>
      <c r="D45" s="1">
        <v>19508.36</v>
      </c>
      <c r="E45" s="1">
        <v>19508.36</v>
      </c>
      <c r="F45" s="1">
        <f t="shared" si="8"/>
        <v>100</v>
      </c>
      <c r="G45" s="1"/>
      <c r="H45" s="1">
        <f t="shared" si="9"/>
        <v>0</v>
      </c>
      <c r="I45" s="1"/>
      <c r="J45" s="1"/>
    </row>
    <row r="46" spans="1:14" ht="45">
      <c r="A46" s="11" t="s">
        <v>77</v>
      </c>
      <c r="B46" s="12"/>
      <c r="C46" s="1">
        <f>C41-C43-C44-C45</f>
        <v>375223.98000000004</v>
      </c>
      <c r="D46" s="1">
        <f t="shared" ref="D46" si="10">D41-D43-D44-D45</f>
        <v>407597.48000000004</v>
      </c>
      <c r="E46" s="1">
        <f>E41-E43-E44-E45</f>
        <v>409065.50000000006</v>
      </c>
      <c r="F46" s="1">
        <f t="shared" si="8"/>
        <v>100.36016415018072</v>
      </c>
      <c r="G46" s="1">
        <f>G41-G43-G44-G45</f>
        <v>448371.3</v>
      </c>
      <c r="H46" s="1">
        <f t="shared" si="9"/>
        <v>109.6086812503132</v>
      </c>
      <c r="I46" s="1">
        <f>I41-I43-I44-I45</f>
        <v>387576.1</v>
      </c>
      <c r="J46" s="1">
        <f>J41-J43-J44-J45</f>
        <v>408002.6</v>
      </c>
    </row>
    <row r="47" spans="1:14" ht="60">
      <c r="A47" s="11" t="s">
        <v>78</v>
      </c>
      <c r="B47" s="12"/>
      <c r="C47" s="1"/>
      <c r="D47" s="1"/>
      <c r="E47" s="1"/>
      <c r="F47" s="1" t="e">
        <f t="shared" si="8"/>
        <v>#DIV/0!</v>
      </c>
      <c r="G47" s="1"/>
      <c r="H47" s="1" t="e">
        <f t="shared" si="9"/>
        <v>#DIV/0!</v>
      </c>
      <c r="I47" s="1"/>
      <c r="J47" s="1"/>
    </row>
    <row r="48" spans="1:14">
      <c r="A48" s="11" t="s">
        <v>84</v>
      </c>
      <c r="B48" s="12">
        <v>211</v>
      </c>
      <c r="C48" s="1">
        <v>303107.05</v>
      </c>
      <c r="D48" s="1">
        <v>328304.78999999998</v>
      </c>
      <c r="E48" s="1">
        <v>334547</v>
      </c>
      <c r="F48" s="1">
        <f t="shared" si="8"/>
        <v>101.90134600229257</v>
      </c>
      <c r="G48" s="1">
        <v>344371.20000000001</v>
      </c>
      <c r="H48" s="1">
        <f t="shared" si="9"/>
        <v>102.93656795607195</v>
      </c>
      <c r="I48" s="1">
        <v>297677.5</v>
      </c>
      <c r="J48" s="1">
        <v>313366.05</v>
      </c>
      <c r="M48" s="14"/>
      <c r="N48" s="14"/>
    </row>
    <row r="49" spans="1:15" ht="45">
      <c r="A49" s="18" t="s">
        <v>85</v>
      </c>
      <c r="B49" s="12">
        <v>212</v>
      </c>
      <c r="C49" s="1">
        <f>21+253.03</f>
        <v>274.02999999999997</v>
      </c>
      <c r="D49" s="1">
        <f>128.49+82.33</f>
        <v>210.82</v>
      </c>
      <c r="E49" s="1">
        <f>D49</f>
        <v>210.82</v>
      </c>
      <c r="F49" s="1">
        <f t="shared" si="8"/>
        <v>100</v>
      </c>
      <c r="G49" s="1">
        <f>126.33+23.9+38.2+30+4.7+424.4+33.8+123.9+30</f>
        <v>835.2299999999999</v>
      </c>
      <c r="H49" s="1">
        <f t="shared" si="9"/>
        <v>396.18157670050277</v>
      </c>
      <c r="I49" s="1">
        <f>126.33+23.9+38.2+30+4.7+33.8+123.9+30</f>
        <v>410.83000000000004</v>
      </c>
      <c r="J49" s="1">
        <f>126.33+23.9+38.2+30+4.7+33.8+123.9+30</f>
        <v>410.83000000000004</v>
      </c>
    </row>
    <row r="50" spans="1:15" ht="30">
      <c r="A50" s="18" t="s">
        <v>86</v>
      </c>
      <c r="B50" s="12">
        <v>213</v>
      </c>
      <c r="C50" s="1">
        <v>91538.33</v>
      </c>
      <c r="D50" s="1">
        <v>99148.05</v>
      </c>
      <c r="E50" s="1">
        <v>101033.2</v>
      </c>
      <c r="F50" s="1">
        <f t="shared" si="8"/>
        <v>101.90134853887696</v>
      </c>
      <c r="G50" s="1">
        <v>104000.1</v>
      </c>
      <c r="H50" s="1">
        <f t="shared" si="9"/>
        <v>102.93655946758096</v>
      </c>
      <c r="I50" s="1">
        <v>89898.6</v>
      </c>
      <c r="J50" s="1">
        <v>94636.55</v>
      </c>
      <c r="L50" s="14"/>
      <c r="M50" s="14"/>
      <c r="O50" s="14"/>
    </row>
    <row r="51" spans="1:15" ht="15.75">
      <c r="A51" s="11" t="s">
        <v>87</v>
      </c>
      <c r="B51" s="12">
        <v>221</v>
      </c>
      <c r="C51" s="1">
        <f>1010.19+787.94</f>
        <v>1798.13</v>
      </c>
      <c r="D51" s="3">
        <f>1932.3+329.7</f>
        <v>2262</v>
      </c>
      <c r="E51" s="1">
        <f>D51</f>
        <v>2262</v>
      </c>
      <c r="F51" s="1">
        <f t="shared" si="8"/>
        <v>100</v>
      </c>
      <c r="G51" s="1">
        <f>51.12+12+69.8+1.3+491.68+18+5+9.6+47.82+4.2+168+68.2+68.3+10+22+151.5+204.9+211.4+34+33.5+121</f>
        <v>1803.3200000000002</v>
      </c>
      <c r="H51" s="1">
        <f t="shared" si="9"/>
        <v>79.722369584438553</v>
      </c>
      <c r="I51" s="1">
        <f>51.12+12+69.8+1.4+491.68+18+5+9.6+51+4.2+168+22+68.3+10+151.5+204.9+211.4+34+33.5+121</f>
        <v>1738.4</v>
      </c>
      <c r="J51" s="1">
        <f>51.12+12+69.8+1.2+491.68+18+5+9.6+52.73+4.2+168+22+68.3+10+151.5+204.9+211.4+34+33.5+121</f>
        <v>1739.9300000000003</v>
      </c>
      <c r="O51" s="14"/>
    </row>
    <row r="52" spans="1:15">
      <c r="A52" s="11" t="s">
        <v>88</v>
      </c>
      <c r="B52" s="12">
        <v>222</v>
      </c>
      <c r="C52" s="1">
        <f>51.5+85.29</f>
        <v>136.79000000000002</v>
      </c>
      <c r="D52" s="1">
        <f>190.03+53.1-10</f>
        <v>233.13</v>
      </c>
      <c r="E52" s="1">
        <f t="shared" ref="E52:E86" si="11">D52</f>
        <v>233.13</v>
      </c>
      <c r="F52" s="1">
        <f t="shared" si="8"/>
        <v>100</v>
      </c>
      <c r="G52" s="1">
        <v>50</v>
      </c>
      <c r="H52" s="1">
        <f t="shared" si="9"/>
        <v>21.447261184746708</v>
      </c>
      <c r="I52" s="1">
        <v>50</v>
      </c>
      <c r="J52" s="1">
        <v>50</v>
      </c>
    </row>
    <row r="53" spans="1:15" ht="15.75">
      <c r="A53" s="11" t="s">
        <v>89</v>
      </c>
      <c r="B53" s="12">
        <v>223</v>
      </c>
      <c r="C53" s="1">
        <f>1544.77+14593.52</f>
        <v>16138.29</v>
      </c>
      <c r="D53" s="4">
        <f>19654.21+1208.55</f>
        <v>20862.759999999998</v>
      </c>
      <c r="E53" s="1">
        <f t="shared" si="11"/>
        <v>20862.759999999998</v>
      </c>
      <c r="F53" s="1">
        <f t="shared" si="8"/>
        <v>100</v>
      </c>
      <c r="G53" s="1">
        <f>613.8+26+104.4+596+384+64.5+2555.7+7474.6+7185.9+8.4+50</f>
        <v>19063.300000000003</v>
      </c>
      <c r="H53" s="1">
        <f t="shared" si="9"/>
        <v>91.37477495786753</v>
      </c>
      <c r="I53" s="1">
        <f>613.8+26+64.5+104.4+596+384+2555.7+7474.6+7185.9+58.4</f>
        <v>19063.300000000003</v>
      </c>
      <c r="J53" s="1">
        <f>613.8+26+64.5+104.4+596+384+2555.7+7474.6+7185.9+58.4</f>
        <v>19063.300000000003</v>
      </c>
    </row>
    <row r="54" spans="1:15" ht="90">
      <c r="A54" s="18" t="s">
        <v>90</v>
      </c>
      <c r="B54" s="12">
        <v>224</v>
      </c>
      <c r="C54" s="1">
        <f>839.03+1303.62</f>
        <v>2142.6499999999996</v>
      </c>
      <c r="D54" s="1">
        <f>1378.28+839.08</f>
        <v>2217.36</v>
      </c>
      <c r="E54" s="1">
        <f t="shared" si="11"/>
        <v>2217.36</v>
      </c>
      <c r="F54" s="1">
        <f t="shared" si="8"/>
        <v>100</v>
      </c>
      <c r="G54" s="1">
        <f>217.62+229.22+168.48+58.8+264.54+690+708.6+26</f>
        <v>2363.2600000000002</v>
      </c>
      <c r="H54" s="1">
        <f t="shared" si="9"/>
        <v>106.57989681422954</v>
      </c>
      <c r="I54" s="1">
        <f>217.62+228.12+168.48+58.8+264.54+690+708.6+26</f>
        <v>2362.16</v>
      </c>
      <c r="J54" s="1">
        <f>217.62+228.12+168.48+58.8+264.54+690+708.6+26</f>
        <v>2362.16</v>
      </c>
    </row>
    <row r="55" spans="1:15" ht="30">
      <c r="A55" s="18" t="s">
        <v>91</v>
      </c>
      <c r="B55" s="12">
        <v>225</v>
      </c>
      <c r="C55" s="1">
        <f>15695.51+21023.07</f>
        <v>36718.58</v>
      </c>
      <c r="D55" s="1">
        <f>11131.78+22858.35-30+87131.85</f>
        <v>121091.98000000001</v>
      </c>
      <c r="E55" s="1">
        <f t="shared" si="11"/>
        <v>121091.98000000001</v>
      </c>
      <c r="F55" s="1">
        <f t="shared" si="8"/>
        <v>100</v>
      </c>
      <c r="G55" s="1">
        <f>2.4+30+373.35+10+86.2+11.6+78.5+42.7+117.5+2788.71+1424.2+1277+1982.2+1007.5+99743.6+14.2+10.4+9.6+65-70349.7</f>
        <v>38724.960000000006</v>
      </c>
      <c r="H55" s="1">
        <f t="shared" si="9"/>
        <v>31.979789247809808</v>
      </c>
      <c r="I55" s="1">
        <f>2.4+30+373.35+10+76+117.5+11.6+78.5+42.7+6504.3+1411.9+1277+1830.6+14.2+10.4+9.6+65+14187.26-8338.05</f>
        <v>17714.260000000002</v>
      </c>
      <c r="J55" s="1">
        <f>2.4+30+373.35+10+76+117.5+11.6+78.5+42.7+7002.8+1411.9+1277+1830.6+14.2+10.4+9.6+65+6269.06</f>
        <v>18632.61</v>
      </c>
    </row>
    <row r="56" spans="1:15">
      <c r="A56" s="18" t="s">
        <v>92</v>
      </c>
      <c r="B56" s="12">
        <v>226</v>
      </c>
      <c r="C56" s="1">
        <f>14151.95+26248.02</f>
        <v>40399.97</v>
      </c>
      <c r="D56" s="1">
        <f>48587.34+20907.82-1174.09-100</f>
        <v>68221.070000000007</v>
      </c>
      <c r="E56" s="1">
        <f t="shared" si="11"/>
        <v>68221.070000000007</v>
      </c>
      <c r="F56" s="1">
        <f t="shared" si="8"/>
        <v>100</v>
      </c>
      <c r="G56" s="1">
        <f>214.68+12+336+62+29+22.18+227+170+304.4+32+78.04+232.49+8+133.5+311+274+9.6+13.7+4.75+25.27+1.5+465+240+50+14.73+355.9+350+51+638+340.3+371.5+6+357.1+2059.6+5048.9+9630.5+128.3+327+296</f>
        <v>23230.94</v>
      </c>
      <c r="H56" s="1">
        <f t="shared" si="9"/>
        <v>34.052441569737908</v>
      </c>
      <c r="I56" s="1">
        <f>214.68+12+336+62+29+22.18+227+170+304.4+32+78.04+232.49+8+133.5+311+272+9.6+13.7+4.75+1.5+350+240+50+14.73+355.9+50+51+638+357.1+340.3+371.5+6+1655.3+5048.9+1256.4+128.3+327+294.8</f>
        <v>14009.069999999998</v>
      </c>
      <c r="J56" s="1">
        <f>214.68+12+336+62+29+22.18+227+170+304.4+32+78.04+232.49+8+133.5+311+272+9.6+13.7+4.75+25.27+1.5+240+50+14.73+355.9+50+51+638+357.1+340.3+371.5+6+1655.3+5048.9+1256.4+128.3+327+294.8</f>
        <v>13684.339999999998</v>
      </c>
    </row>
    <row r="57" spans="1:15">
      <c r="A57" s="11" t="s">
        <v>93</v>
      </c>
      <c r="B57" s="12">
        <v>227</v>
      </c>
      <c r="C57" s="1">
        <v>92.5</v>
      </c>
      <c r="D57" s="1">
        <f>54.58+31.32</f>
        <v>85.9</v>
      </c>
      <c r="E57" s="1">
        <f t="shared" si="11"/>
        <v>85.9</v>
      </c>
      <c r="F57" s="1">
        <f t="shared" si="8"/>
        <v>100</v>
      </c>
      <c r="G57" s="1">
        <f>6+19.53+8.2+15.9+34.5</f>
        <v>84.13</v>
      </c>
      <c r="H57" s="1">
        <f t="shared" si="9"/>
        <v>97.9394644935972</v>
      </c>
      <c r="I57" s="1">
        <f>6+19.53+15.9+8.2+34.5</f>
        <v>84.13</v>
      </c>
      <c r="J57" s="1">
        <f>6+19.53+15.9+8.2+34.5</f>
        <v>84.13</v>
      </c>
    </row>
    <row r="58" spans="1:15" ht="30">
      <c r="A58" s="11" t="s">
        <v>117</v>
      </c>
      <c r="B58" s="12">
        <v>228</v>
      </c>
      <c r="C58" s="1">
        <v>0</v>
      </c>
      <c r="D58" s="1">
        <f>8080+3200</f>
        <v>11280</v>
      </c>
      <c r="E58" s="1">
        <f t="shared" si="11"/>
        <v>11280</v>
      </c>
      <c r="F58" s="1">
        <f t="shared" si="8"/>
        <v>100</v>
      </c>
      <c r="G58" s="1">
        <v>16000</v>
      </c>
      <c r="H58" s="1"/>
      <c r="I58" s="1"/>
      <c r="J58" s="1"/>
      <c r="L58" s="6">
        <v>31578.9</v>
      </c>
    </row>
    <row r="59" spans="1:15" ht="30">
      <c r="A59" s="11" t="s">
        <v>94</v>
      </c>
      <c r="B59" s="12">
        <v>231</v>
      </c>
      <c r="C59" s="1">
        <v>1.1499999999999999</v>
      </c>
      <c r="D59" s="1"/>
      <c r="E59" s="1">
        <f t="shared" si="11"/>
        <v>0</v>
      </c>
      <c r="F59" s="1" t="e">
        <f t="shared" si="8"/>
        <v>#DIV/0!</v>
      </c>
      <c r="G59" s="1"/>
      <c r="H59" s="1" t="e">
        <f t="shared" si="9"/>
        <v>#DIV/0!</v>
      </c>
      <c r="I59" s="1"/>
      <c r="J59" s="1"/>
    </row>
    <row r="60" spans="1:15" ht="75">
      <c r="A60" s="18" t="s">
        <v>95</v>
      </c>
      <c r="B60" s="12">
        <v>241</v>
      </c>
      <c r="C60" s="1"/>
      <c r="D60" s="1"/>
      <c r="E60" s="1">
        <f t="shared" si="11"/>
        <v>0</v>
      </c>
      <c r="F60" s="1" t="e">
        <f t="shared" si="8"/>
        <v>#DIV/0!</v>
      </c>
      <c r="G60" s="1"/>
      <c r="H60" s="1" t="e">
        <f t="shared" si="9"/>
        <v>#DIV/0!</v>
      </c>
      <c r="I60" s="1"/>
      <c r="J60" s="1"/>
    </row>
    <row r="61" spans="1:15" ht="75">
      <c r="A61" s="18" t="s">
        <v>96</v>
      </c>
      <c r="B61" s="12">
        <v>242</v>
      </c>
      <c r="C61" s="1">
        <v>0</v>
      </c>
      <c r="D61" s="1">
        <v>100</v>
      </c>
      <c r="E61" s="1">
        <f t="shared" si="11"/>
        <v>100</v>
      </c>
      <c r="F61" s="1">
        <f t="shared" si="8"/>
        <v>100</v>
      </c>
      <c r="G61" s="1"/>
      <c r="H61" s="1">
        <f t="shared" si="9"/>
        <v>0</v>
      </c>
      <c r="I61" s="1"/>
      <c r="J61" s="1"/>
    </row>
    <row r="62" spans="1:15" ht="105">
      <c r="A62" s="18" t="s">
        <v>97</v>
      </c>
      <c r="B62" s="12">
        <v>243</v>
      </c>
      <c r="C62" s="1">
        <v>2062.52</v>
      </c>
      <c r="D62" s="1">
        <v>2152.52</v>
      </c>
      <c r="E62" s="1">
        <f t="shared" si="11"/>
        <v>2152.52</v>
      </c>
      <c r="F62" s="1">
        <f t="shared" si="8"/>
        <v>100</v>
      </c>
      <c r="G62" s="1">
        <f>2620.1</f>
        <v>2620.1</v>
      </c>
      <c r="H62" s="1">
        <f>G62/E62*100</f>
        <v>121.72244624904762</v>
      </c>
      <c r="I62" s="1">
        <f>1708.1</f>
        <v>1708.1</v>
      </c>
      <c r="J62" s="1">
        <f>1458.1</f>
        <v>1458.1</v>
      </c>
    </row>
    <row r="63" spans="1:15" ht="105">
      <c r="A63" s="18" t="s">
        <v>98</v>
      </c>
      <c r="B63" s="12">
        <v>246</v>
      </c>
      <c r="C63" s="1">
        <f>2603.55</f>
        <v>2603.5500000000002</v>
      </c>
      <c r="D63" s="1">
        <v>2649.74</v>
      </c>
      <c r="E63" s="1">
        <f t="shared" si="11"/>
        <v>2649.74</v>
      </c>
      <c r="F63" s="1">
        <f t="shared" si="8"/>
        <v>100</v>
      </c>
      <c r="G63" s="1">
        <f>2708.2</f>
        <v>2708.2</v>
      </c>
      <c r="H63" s="1">
        <f t="shared" si="9"/>
        <v>102.20625419852513</v>
      </c>
      <c r="I63" s="1">
        <f>304.7</f>
        <v>304.7</v>
      </c>
      <c r="J63" s="1">
        <f>304.7</f>
        <v>304.7</v>
      </c>
    </row>
    <row r="64" spans="1:15" ht="60">
      <c r="A64" s="18" t="s">
        <v>99</v>
      </c>
      <c r="B64" s="12">
        <v>251</v>
      </c>
      <c r="C64" s="1">
        <v>78738.22</v>
      </c>
      <c r="D64" s="1">
        <v>47480.51</v>
      </c>
      <c r="E64" s="1">
        <f t="shared" si="11"/>
        <v>47480.51</v>
      </c>
      <c r="F64" s="1">
        <f t="shared" si="8"/>
        <v>100</v>
      </c>
      <c r="G64" s="1">
        <v>22370.9</v>
      </c>
      <c r="H64" s="1">
        <f t="shared" si="9"/>
        <v>47.115964002914041</v>
      </c>
      <c r="I64" s="1">
        <v>16882.2</v>
      </c>
      <c r="J64" s="1">
        <v>16882.2</v>
      </c>
    </row>
    <row r="65" spans="1:10" ht="45">
      <c r="A65" s="18" t="s">
        <v>100</v>
      </c>
      <c r="B65" s="12">
        <v>262</v>
      </c>
      <c r="C65" s="1">
        <v>1977.07</v>
      </c>
      <c r="D65" s="1">
        <v>2574.7800000000002</v>
      </c>
      <c r="E65" s="1">
        <f t="shared" si="11"/>
        <v>2574.7800000000002</v>
      </c>
      <c r="F65" s="1">
        <f t="shared" si="8"/>
        <v>100</v>
      </c>
      <c r="G65" s="1">
        <f>2971.6+93.3</f>
        <v>3064.9</v>
      </c>
      <c r="H65" s="1">
        <f t="shared" si="9"/>
        <v>119.03541273429185</v>
      </c>
      <c r="I65" s="1">
        <f>6197.8</f>
        <v>6197.8</v>
      </c>
      <c r="J65" s="1">
        <f>4224.7</f>
        <v>4224.7</v>
      </c>
    </row>
    <row r="66" spans="1:10" ht="75">
      <c r="A66" s="18" t="s">
        <v>101</v>
      </c>
      <c r="B66" s="12">
        <v>264</v>
      </c>
      <c r="C66" s="1">
        <v>634.23</v>
      </c>
      <c r="D66" s="1">
        <v>628</v>
      </c>
      <c r="E66" s="1">
        <f t="shared" si="11"/>
        <v>628</v>
      </c>
      <c r="F66" s="1">
        <f t="shared" si="8"/>
        <v>100</v>
      </c>
      <c r="G66" s="1"/>
      <c r="H66" s="1">
        <f t="shared" si="9"/>
        <v>0</v>
      </c>
      <c r="I66" s="1"/>
      <c r="J66" s="1"/>
    </row>
    <row r="67" spans="1:10" ht="90">
      <c r="A67" s="18" t="s">
        <v>126</v>
      </c>
      <c r="B67" s="12">
        <v>265</v>
      </c>
      <c r="C67" s="1">
        <v>0</v>
      </c>
      <c r="D67" s="1"/>
      <c r="E67" s="1">
        <f t="shared" si="11"/>
        <v>0</v>
      </c>
      <c r="F67" s="1"/>
      <c r="G67" s="1"/>
      <c r="H67" s="1"/>
      <c r="I67" s="1"/>
      <c r="J67" s="1"/>
    </row>
    <row r="68" spans="1:10" ht="45">
      <c r="A68" s="18" t="s">
        <v>102</v>
      </c>
      <c r="B68" s="12">
        <v>266</v>
      </c>
      <c r="C68" s="1">
        <f>58.82+181.27</f>
        <v>240.09</v>
      </c>
      <c r="D68" s="1">
        <f>147.39+46.07</f>
        <v>193.45999999999998</v>
      </c>
      <c r="E68" s="1">
        <f t="shared" si="11"/>
        <v>193.45999999999998</v>
      </c>
      <c r="F68" s="1">
        <f t="shared" si="8"/>
        <v>100</v>
      </c>
      <c r="G68" s="1"/>
      <c r="H68" s="1">
        <f t="shared" si="9"/>
        <v>0</v>
      </c>
      <c r="I68" s="1"/>
      <c r="J68" s="1"/>
    </row>
    <row r="69" spans="1:10" ht="45">
      <c r="A69" s="18" t="s">
        <v>103</v>
      </c>
      <c r="B69" s="12">
        <v>267</v>
      </c>
      <c r="C69" s="1">
        <v>1758.51</v>
      </c>
      <c r="D69" s="1">
        <f>2025.22</f>
        <v>2025.22</v>
      </c>
      <c r="E69" s="1">
        <f t="shared" si="11"/>
        <v>2025.22</v>
      </c>
      <c r="F69" s="1">
        <f>E69/D69*100</f>
        <v>100</v>
      </c>
      <c r="G69" s="1">
        <f>1870.1+142.85+43.14+978.57+295.54+13.95+48.54+173.9</f>
        <v>3566.5899999999997</v>
      </c>
      <c r="H69" s="1">
        <f t="shared" si="9"/>
        <v>176.10876843009646</v>
      </c>
      <c r="I69" s="1">
        <f>1854.6+142.85+43.14+978.57+295.54+13.95+45.54+173.9</f>
        <v>3548.0899999999997</v>
      </c>
      <c r="J69" s="1">
        <f>1854.6+142.85+43.14+978.57+295.54+13.95+45.54+173.9</f>
        <v>3548.0899999999997</v>
      </c>
    </row>
    <row r="70" spans="1:10">
      <c r="A70" s="11" t="s">
        <v>104</v>
      </c>
      <c r="B70" s="12">
        <v>291</v>
      </c>
      <c r="C70" s="1">
        <f>279.55+8277.65</f>
        <v>8557.1999999999989</v>
      </c>
      <c r="D70" s="1">
        <f>9542.9+241.18-60</f>
        <v>9724.08</v>
      </c>
      <c r="E70" s="1">
        <f t="shared" si="11"/>
        <v>9724.08</v>
      </c>
      <c r="F70" s="1">
        <f t="shared" si="8"/>
        <v>100</v>
      </c>
      <c r="G70" s="1">
        <f>1.79+6.88+203.31+6.73+5+18.7+19.5+74.3+340.1+735.8+5629.3+2341.3+77.5+10.3-3468.36</f>
        <v>6002.1499999999978</v>
      </c>
      <c r="H70" s="1">
        <f t="shared" si="9"/>
        <v>61.724605309705375</v>
      </c>
      <c r="I70" s="1">
        <f>1.79+6.88+203.31+6.73+5+21.5+340.1+19.5+74.3+731.8+5629.3+2341.3+77.5+10.3</f>
        <v>9469.31</v>
      </c>
      <c r="J70" s="1">
        <f>1.79+6.88+203.31+6.73+5+24.8+340.1+19.5+74.3+735.8+5629.3+2341.3+77.5+10.3</f>
        <v>9476.61</v>
      </c>
    </row>
    <row r="71" spans="1:10" ht="60">
      <c r="A71" s="11" t="s">
        <v>105</v>
      </c>
      <c r="B71" s="12">
        <v>292</v>
      </c>
      <c r="C71" s="1">
        <v>29.84</v>
      </c>
      <c r="D71" s="1">
        <f>28.74-6</f>
        <v>22.74</v>
      </c>
      <c r="E71" s="1">
        <f t="shared" si="11"/>
        <v>22.74</v>
      </c>
      <c r="F71" s="1">
        <f t="shared" si="8"/>
        <v>100</v>
      </c>
      <c r="G71" s="1"/>
      <c r="H71" s="1">
        <f t="shared" si="9"/>
        <v>0</v>
      </c>
      <c r="I71" s="1"/>
      <c r="J71" s="1"/>
    </row>
    <row r="72" spans="1:10" ht="60">
      <c r="A72" s="18" t="s">
        <v>120</v>
      </c>
      <c r="B72" s="12">
        <v>293</v>
      </c>
      <c r="C72" s="1">
        <v>49.68</v>
      </c>
      <c r="D72" s="1">
        <f>56.5-6</f>
        <v>50.5</v>
      </c>
      <c r="E72" s="1">
        <f t="shared" si="11"/>
        <v>50.5</v>
      </c>
      <c r="F72" s="1">
        <f t="shared" si="8"/>
        <v>100</v>
      </c>
      <c r="G72" s="1"/>
      <c r="H72" s="1">
        <f t="shared" si="9"/>
        <v>0</v>
      </c>
      <c r="I72" s="1"/>
      <c r="J72" s="1"/>
    </row>
    <row r="73" spans="1:10" ht="30">
      <c r="A73" s="11" t="s">
        <v>106</v>
      </c>
      <c r="B73" s="12">
        <v>295</v>
      </c>
      <c r="C73" s="1">
        <v>116</v>
      </c>
      <c r="D73" s="1"/>
      <c r="E73" s="1">
        <f t="shared" si="11"/>
        <v>0</v>
      </c>
      <c r="F73" s="1" t="e">
        <f t="shared" si="8"/>
        <v>#DIV/0!</v>
      </c>
      <c r="G73" s="1"/>
      <c r="H73" s="1" t="e">
        <f t="shared" si="9"/>
        <v>#DIV/0!</v>
      </c>
      <c r="I73" s="1"/>
      <c r="J73" s="1"/>
    </row>
    <row r="74" spans="1:10" ht="45">
      <c r="A74" s="11" t="s">
        <v>107</v>
      </c>
      <c r="B74" s="12">
        <v>296</v>
      </c>
      <c r="C74" s="1">
        <f>411.61+76.92</f>
        <v>488.53000000000003</v>
      </c>
      <c r="D74" s="1">
        <f>344.74+81.08</f>
        <v>425.82</v>
      </c>
      <c r="E74" s="1">
        <f t="shared" si="11"/>
        <v>425.82</v>
      </c>
      <c r="F74" s="1">
        <f t="shared" si="8"/>
        <v>100</v>
      </c>
      <c r="G74" s="1">
        <f>5.7+53.2+75.5+25+509.5</f>
        <v>668.9</v>
      </c>
      <c r="H74" s="1">
        <f t="shared" si="9"/>
        <v>157.08515335118125</v>
      </c>
      <c r="I74" s="1">
        <f>5.7+75.5+25+509.5</f>
        <v>615.70000000000005</v>
      </c>
      <c r="J74" s="1">
        <f>5.7+75.5+25+509.5</f>
        <v>615.70000000000005</v>
      </c>
    </row>
    <row r="75" spans="1:10" ht="30">
      <c r="A75" s="11" t="s">
        <v>108</v>
      </c>
      <c r="B75" s="12">
        <v>297</v>
      </c>
      <c r="C75" s="1">
        <f>2.42+1385</f>
        <v>1387.42</v>
      </c>
      <c r="D75" s="1">
        <f>1300.23+2.86</f>
        <v>1303.0899999999999</v>
      </c>
      <c r="E75" s="1">
        <f t="shared" si="11"/>
        <v>1303.0899999999999</v>
      </c>
      <c r="F75" s="1">
        <f t="shared" si="8"/>
        <v>100</v>
      </c>
      <c r="G75" s="1">
        <f>900+2622.1</f>
        <v>3522.1</v>
      </c>
      <c r="H75" s="1">
        <f t="shared" si="9"/>
        <v>270.28831469814054</v>
      </c>
      <c r="I75" s="1">
        <v>900</v>
      </c>
      <c r="J75" s="1">
        <v>900</v>
      </c>
    </row>
    <row r="76" spans="1:10" ht="30">
      <c r="A76" s="11" t="s">
        <v>116</v>
      </c>
      <c r="B76" s="12">
        <v>310</v>
      </c>
      <c r="C76" s="1">
        <f>17247.58+9627.66+49079.36+1149.53</f>
        <v>77104.13</v>
      </c>
      <c r="D76" s="1">
        <f>24521.97+63412.79-409.77-10512.88-15476.6+15875.98+1.15</f>
        <v>77412.639999999999</v>
      </c>
      <c r="E76" s="1">
        <f t="shared" si="11"/>
        <v>77412.639999999999</v>
      </c>
      <c r="F76" s="1">
        <f t="shared" si="8"/>
        <v>100</v>
      </c>
      <c r="G76" s="1">
        <f>24+0.6+43+8+2.7+50+19.3+312.9+83.1+701.7+384.4+30677.6+101</f>
        <v>32408.3</v>
      </c>
      <c r="H76" s="1">
        <f t="shared" si="9"/>
        <v>41.864351868118696</v>
      </c>
      <c r="I76" s="1">
        <f>43+8+5+50+19.3+312.9+83.1+701.7+101+22635.78+8448.52-8338.05</f>
        <v>24070.25</v>
      </c>
      <c r="J76" s="1">
        <f>43+8+5+50+19.3+312.9+83.1+701.7+101+22635.78+8448.52+4041.6</f>
        <v>36449.9</v>
      </c>
    </row>
    <row r="77" spans="1:10" ht="30">
      <c r="A77" s="11" t="s">
        <v>121</v>
      </c>
      <c r="B77" s="12">
        <v>330</v>
      </c>
      <c r="C77" s="1">
        <v>0</v>
      </c>
      <c r="D77" s="1"/>
      <c r="E77" s="1">
        <f t="shared" si="11"/>
        <v>0</v>
      </c>
      <c r="F77" s="1" t="e">
        <f t="shared" si="8"/>
        <v>#DIV/0!</v>
      </c>
      <c r="G77" s="1"/>
      <c r="H77" s="1" t="e">
        <f t="shared" si="9"/>
        <v>#DIV/0!</v>
      </c>
      <c r="I77" s="1"/>
      <c r="J77" s="1"/>
    </row>
    <row r="78" spans="1:10" ht="60">
      <c r="A78" s="11" t="s">
        <v>109</v>
      </c>
      <c r="B78" s="12">
        <v>341</v>
      </c>
      <c r="C78" s="1">
        <v>44.21</v>
      </c>
      <c r="D78" s="1">
        <v>40.049999999999997</v>
      </c>
      <c r="E78" s="1">
        <f t="shared" si="11"/>
        <v>40.049999999999997</v>
      </c>
      <c r="F78" s="1">
        <f t="shared" si="8"/>
        <v>100</v>
      </c>
      <c r="G78" s="1">
        <f>2+53.2+78.2+36.5</f>
        <v>169.9</v>
      </c>
      <c r="H78" s="1">
        <f>G78/E78*100</f>
        <v>424.21972534332087</v>
      </c>
      <c r="I78" s="1">
        <f>2+53.2+36.5</f>
        <v>91.7</v>
      </c>
      <c r="J78" s="1">
        <f>2+53.2+36.5</f>
        <v>91.7</v>
      </c>
    </row>
    <row r="79" spans="1:10" ht="30">
      <c r="A79" s="11" t="s">
        <v>110</v>
      </c>
      <c r="B79" s="12">
        <v>342</v>
      </c>
      <c r="C79" s="1">
        <f>102.03+22710.56</f>
        <v>22812.59</v>
      </c>
      <c r="D79" s="1">
        <f>65.63+28392.74-10867.23</f>
        <v>17591.140000000003</v>
      </c>
      <c r="E79" s="1">
        <f t="shared" si="11"/>
        <v>17591.140000000003</v>
      </c>
      <c r="F79" s="1">
        <f t="shared" si="8"/>
        <v>100</v>
      </c>
      <c r="G79" s="1">
        <f>2.5+22.8+297.6+1309.1+3303+506.5+9623.9+88.8+1687.5+1170</f>
        <v>18011.699999999997</v>
      </c>
      <c r="H79" s="1">
        <f t="shared" si="9"/>
        <v>102.39074897931569</v>
      </c>
      <c r="I79" s="1">
        <f>2.5+22.8+297.6+1309.1+3303+10130.4+88.8+1687.5+1125.8</f>
        <v>17967.499999999996</v>
      </c>
      <c r="J79" s="1">
        <f>2.5+22.8+297.6+1309.1+3303+8844.5+88.8+1687.5+1125.8</f>
        <v>16681.599999999999</v>
      </c>
    </row>
    <row r="80" spans="1:10" ht="45">
      <c r="A80" s="11" t="s">
        <v>111</v>
      </c>
      <c r="B80" s="12">
        <v>343</v>
      </c>
      <c r="C80" s="1">
        <f>11546.91+2473.73</f>
        <v>14020.64</v>
      </c>
      <c r="D80" s="1">
        <f>11418.38+2903.4-0.24</f>
        <v>14321.539999999999</v>
      </c>
      <c r="E80" s="1">
        <f t="shared" si="11"/>
        <v>14321.539999999999</v>
      </c>
      <c r="F80" s="1">
        <f t="shared" si="8"/>
        <v>100</v>
      </c>
      <c r="G80" s="1">
        <f>76.94+1928.77+20+323.3+119.1+221.8+226.7+608.8+201.5+4499.5+4448.3+3792.1+194.9+300+600</f>
        <v>17561.71</v>
      </c>
      <c r="H80" s="1">
        <f t="shared" si="9"/>
        <v>122.62445239827559</v>
      </c>
      <c r="I80" s="1">
        <f>76.94+1928.77+226.7+221.8+20+323.3+119.1+608.8+201.5+4499.5+3792.1+194.9+300+600</f>
        <v>13113.41</v>
      </c>
      <c r="J80" s="1">
        <f>76.94+1928.77+226.7+221.8+20+323.3+119.1+608.8+201.5+4499.5+3589.1+3792.1+194.9+300+600</f>
        <v>16702.510000000002</v>
      </c>
    </row>
    <row r="81" spans="1:10" ht="30">
      <c r="A81" s="11" t="s">
        <v>112</v>
      </c>
      <c r="B81" s="12">
        <v>344</v>
      </c>
      <c r="C81" s="1">
        <f>2140.75+5.92</f>
        <v>2146.67</v>
      </c>
      <c r="D81" s="1">
        <f>2661.38+5.92</f>
        <v>2667.3</v>
      </c>
      <c r="E81" s="1">
        <f t="shared" si="11"/>
        <v>2667.3</v>
      </c>
      <c r="F81" s="1">
        <f t="shared" si="8"/>
        <v>100</v>
      </c>
      <c r="G81" s="1">
        <f>29.6+45+27.7+30+19+20.9+185.9+5+5+100</f>
        <v>468.1</v>
      </c>
      <c r="H81" s="1">
        <f t="shared" si="9"/>
        <v>17.549581974281107</v>
      </c>
      <c r="I81" s="1">
        <f>30+29.6+45+27.7+20.9+5+5+100</f>
        <v>263.2</v>
      </c>
      <c r="J81" s="1">
        <f>30+29.6+45+27.7+20.9+5+5+100</f>
        <v>263.2</v>
      </c>
    </row>
    <row r="82" spans="1:10" ht="30">
      <c r="A82" s="11" t="s">
        <v>113</v>
      </c>
      <c r="B82" s="12">
        <v>345</v>
      </c>
      <c r="C82" s="1">
        <f>698.3+10.99</f>
        <v>709.29</v>
      </c>
      <c r="D82" s="1">
        <f>196.96+460.63</f>
        <v>657.59</v>
      </c>
      <c r="E82" s="1">
        <f t="shared" si="11"/>
        <v>657.59</v>
      </c>
      <c r="F82" s="1">
        <f t="shared" si="8"/>
        <v>100</v>
      </c>
      <c r="G82" s="1">
        <f>241.6+15.2+94.8+276.9+413.9+4+4+10</f>
        <v>1060.4000000000001</v>
      </c>
      <c r="H82" s="1">
        <f t="shared" si="9"/>
        <v>161.25549354460986</v>
      </c>
      <c r="I82" s="1">
        <f>241.6+15.2+94.8+276.9+4+4+10</f>
        <v>646.5</v>
      </c>
      <c r="J82" s="1">
        <f>241.6+15.2+94.8+276.9+4+4+10</f>
        <v>646.5</v>
      </c>
    </row>
    <row r="83" spans="1:10" ht="45">
      <c r="A83" s="11" t="s">
        <v>114</v>
      </c>
      <c r="B83" s="12">
        <v>346</v>
      </c>
      <c r="C83" s="1">
        <f>9054.45+1457.91</f>
        <v>10512.36</v>
      </c>
      <c r="D83" s="1">
        <f>11721.5+1683.63-240.54-584.67</f>
        <v>12579.92</v>
      </c>
      <c r="E83" s="1">
        <f t="shared" si="11"/>
        <v>12579.92</v>
      </c>
      <c r="F83" s="1">
        <f t="shared" si="8"/>
        <v>100</v>
      </c>
      <c r="G83" s="1">
        <f>10.8+63.07+21.1+0.1+6+28.09+550.14+31+6.59+40.8+19.1+54.98+37.6+30.7+30+15+0.5+3.57+284.8+42+300+42+26+250.6+42+1197.7+2987.9+73.4+2980.9+152.5+40.6+99.6+419+39.7</f>
        <v>9927.84</v>
      </c>
      <c r="H83" s="1">
        <f t="shared" si="9"/>
        <v>78.918148923045621</v>
      </c>
      <c r="I83" s="1">
        <f>10.8+42.05+21.1+0.1+6+28.09+550.14+31+21.59+40.8+18.8+54.98+37.2+30.7+30+15+0.5+3.57+42+15.2+284.8+42+300+42+26+1047.7+2987.9+40.6+99.6+64.5+249.2+39.7</f>
        <v>6223.6200000000008</v>
      </c>
      <c r="J83" s="1">
        <f>10.8+42.05+21.1+0.1+6+28.09+550.14+31+26.59+40.8+18.8+54.98+37.2+30.7+30+15+0.5+3.57+42+250.6+284.8+42+300+42+26+1047.7+2987.9+40.6+99.6+64.5+249.2+39.7</f>
        <v>6464.02</v>
      </c>
    </row>
    <row r="84" spans="1:10" ht="60">
      <c r="A84" s="11" t="s">
        <v>115</v>
      </c>
      <c r="B84" s="12">
        <v>349</v>
      </c>
      <c r="C84" s="1">
        <f>535.9+1413.03</f>
        <v>1948.9299999999998</v>
      </c>
      <c r="D84" s="1">
        <f>1652.78+674.32-22.55-1.17</f>
        <v>2303.3799999999997</v>
      </c>
      <c r="E84" s="1">
        <f t="shared" si="11"/>
        <v>2303.3799999999997</v>
      </c>
      <c r="F84" s="1">
        <f t="shared" si="8"/>
        <v>100</v>
      </c>
      <c r="G84" s="1">
        <f>48.6+234+12+48.97+60+352.2+31+319.5+238+142.3+107+112.5+230</f>
        <v>1936.07</v>
      </c>
      <c r="H84" s="1">
        <f t="shared" si="9"/>
        <v>84.053434517969251</v>
      </c>
      <c r="I84" s="1">
        <f>48.6+234+12+48.97+238+60+352.2+319.5+137.3+107+130</f>
        <v>1687.57</v>
      </c>
      <c r="J84" s="1">
        <f>48.6+234+12+48.97+238+60+352.2+319.5+137.3+107+130</f>
        <v>1687.57</v>
      </c>
    </row>
    <row r="85" spans="1:10" ht="45">
      <c r="A85" s="11" t="s">
        <v>118</v>
      </c>
      <c r="B85" s="12">
        <v>530</v>
      </c>
      <c r="C85" s="1">
        <v>757.26</v>
      </c>
      <c r="D85" s="1">
        <v>757.26</v>
      </c>
      <c r="E85" s="1">
        <f t="shared" si="11"/>
        <v>757.26</v>
      </c>
      <c r="F85" s="1">
        <f t="shared" si="8"/>
        <v>100</v>
      </c>
      <c r="G85" s="1"/>
      <c r="H85" s="1">
        <f t="shared" si="9"/>
        <v>0</v>
      </c>
      <c r="I85" s="1"/>
      <c r="J85" s="1"/>
    </row>
    <row r="86" spans="1:10" ht="60">
      <c r="A86" s="11" t="s">
        <v>119</v>
      </c>
      <c r="B86" s="12">
        <v>810</v>
      </c>
      <c r="C86" s="1">
        <v>0</v>
      </c>
      <c r="D86" s="1"/>
      <c r="E86" s="1">
        <f t="shared" si="11"/>
        <v>0</v>
      </c>
      <c r="F86" s="1" t="e">
        <f t="shared" si="8"/>
        <v>#DIV/0!</v>
      </c>
      <c r="G86" s="1"/>
      <c r="H86" s="1" t="e">
        <f t="shared" si="9"/>
        <v>#DIV/0!</v>
      </c>
      <c r="I86" s="1"/>
      <c r="J86" s="1"/>
    </row>
    <row r="87" spans="1:10" ht="45">
      <c r="A87" s="11" t="s">
        <v>79</v>
      </c>
      <c r="B87" s="12"/>
      <c r="C87" s="1">
        <f>C4-C40</f>
        <v>-111562.7840000001</v>
      </c>
      <c r="D87" s="1">
        <f>D4-D40</f>
        <v>-34907.119999999995</v>
      </c>
      <c r="E87" s="1">
        <f>E4-E40</f>
        <v>-34907.119999999879</v>
      </c>
      <c r="F87" s="1"/>
      <c r="G87" s="1">
        <f>G4-G40</f>
        <v>0</v>
      </c>
      <c r="H87" s="1">
        <f t="shared" si="9"/>
        <v>0</v>
      </c>
      <c r="I87" s="1">
        <f>I4-I40</f>
        <v>0</v>
      </c>
      <c r="J87" s="1">
        <f>J4-J40</f>
        <v>0</v>
      </c>
    </row>
    <row r="88" spans="1:10" hidden="1">
      <c r="D88" s="7">
        <v>34907.120000000003</v>
      </c>
      <c r="E88" s="19"/>
      <c r="G88" s="7" t="s">
        <v>128</v>
      </c>
    </row>
    <row r="89" spans="1:10" ht="30.75" customHeight="1">
      <c r="A89" s="20" t="s">
        <v>80</v>
      </c>
      <c r="B89" s="21"/>
      <c r="C89" s="21"/>
      <c r="D89" s="21"/>
      <c r="E89" s="21"/>
      <c r="F89" s="21"/>
      <c r="G89" s="21"/>
      <c r="H89" s="21"/>
      <c r="I89" s="21"/>
      <c r="J89" s="21"/>
    </row>
  </sheetData>
  <mergeCells count="2">
    <mergeCell ref="A89:J89"/>
    <mergeCell ref="A1:J1"/>
  </mergeCells>
  <hyperlinks>
    <hyperlink ref="A40" location="P611" display="P611"/>
  </hyperlinks>
  <pageMargins left="0.70866141732283472" right="0.70866141732283472" top="0.74803149606299213" bottom="0.74803149606299213" header="0.31496062992125984" footer="0.31496062992125984"/>
  <pageSetup paperSize="9" scale="70" fitToHeight="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PC_N</dc:creator>
  <cp:lastModifiedBy>PC_N</cp:lastModifiedBy>
  <cp:lastPrinted>2023-11-14T10:03:04Z</cp:lastPrinted>
  <dcterms:created xsi:type="dcterms:W3CDTF">2021-10-21T01:28:46Z</dcterms:created>
  <dcterms:modified xsi:type="dcterms:W3CDTF">2023-11-16T04:13:58Z</dcterms:modified>
</cp:coreProperties>
</file>