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1625" yWindow="300" windowWidth="13635" windowHeight="7290" tabRatio="296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Titles" localSheetId="0">Лист1!$A:$A</definedName>
    <definedName name="_xlnm.Print_Area" localSheetId="0">Лист1!$A$1:$HH$26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E15" i="1"/>
  <c r="ES18" l="1"/>
  <c r="ES7" l="1"/>
  <c r="ET7"/>
  <c r="ET18"/>
  <c r="EQ18"/>
  <c r="EQ17"/>
  <c r="EQ16"/>
  <c r="EQ15"/>
  <c r="EQ14"/>
  <c r="EQ13"/>
  <c r="EQ12"/>
  <c r="EQ11"/>
  <c r="EQ10"/>
  <c r="EQ9"/>
  <c r="EQ8"/>
  <c r="EQ7"/>
  <c r="EP18"/>
  <c r="EP17"/>
  <c r="EP16"/>
  <c r="EP15"/>
  <c r="EP14"/>
  <c r="EP13"/>
  <c r="EP12"/>
  <c r="EP11"/>
  <c r="EP10"/>
  <c r="EP9"/>
  <c r="EP8"/>
  <c r="EP7"/>
  <c r="EL18"/>
  <c r="EM18"/>
  <c r="EM17"/>
  <c r="EM16"/>
  <c r="EM15"/>
  <c r="EM14"/>
  <c r="EM13"/>
  <c r="EM12"/>
  <c r="EM11"/>
  <c r="EM10"/>
  <c r="EM9"/>
  <c r="EM8"/>
  <c r="EM7"/>
  <c r="EL17"/>
  <c r="EL16"/>
  <c r="EL15"/>
  <c r="EL14"/>
  <c r="EL11"/>
  <c r="EL10"/>
  <c r="EL9"/>
  <c r="EL8"/>
  <c r="EL7"/>
  <c r="EK18"/>
  <c r="EK17"/>
  <c r="EK16"/>
  <c r="EK15"/>
  <c r="EK14"/>
  <c r="EK13"/>
  <c r="EK12"/>
  <c r="EK11"/>
  <c r="EK10"/>
  <c r="EK9" l="1"/>
  <c r="EK8"/>
  <c r="EK7"/>
  <c r="I11" l="1"/>
  <c r="J11"/>
  <c r="K11"/>
  <c r="L11"/>
  <c r="M11"/>
  <c r="T11"/>
  <c r="U11"/>
  <c r="AA11"/>
  <c r="AB11"/>
  <c r="AH11"/>
  <c r="AI11"/>
  <c r="AM11"/>
  <c r="AP11"/>
  <c r="AQ11"/>
  <c r="AV11"/>
  <c r="AW11"/>
  <c r="AX11"/>
  <c r="BC11"/>
  <c r="BD11"/>
  <c r="BE11"/>
  <c r="BJ11"/>
  <c r="BK11"/>
  <c r="BL11"/>
  <c r="BP11"/>
  <c r="BQ11"/>
  <c r="BR11"/>
  <c r="BS11"/>
  <c r="BT11"/>
  <c r="BU11"/>
  <c r="BY11"/>
  <c r="BZ11"/>
  <c r="CA11"/>
  <c r="CB11"/>
  <c r="CG11"/>
  <c r="CH11"/>
  <c r="CI11"/>
  <c r="CJ11"/>
  <c r="CO11"/>
  <c r="CP11"/>
  <c r="CU11"/>
  <c r="CV11"/>
  <c r="CW11"/>
  <c r="DB11"/>
  <c r="DC11"/>
  <c r="DD11"/>
  <c r="DG11"/>
  <c r="DJ11"/>
  <c r="DK11"/>
  <c r="DN11"/>
  <c r="DO11"/>
  <c r="DP11"/>
  <c r="DS11"/>
  <c r="DT11"/>
  <c r="DU11"/>
  <c r="DV11"/>
  <c r="DZ11" s="1"/>
  <c r="DW11"/>
  <c r="EA11"/>
  <c r="EB11"/>
  <c r="EH11"/>
  <c r="EI11"/>
  <c r="EO11"/>
  <c r="EV11"/>
  <c r="FA11"/>
  <c r="FB11"/>
  <c r="FC11"/>
  <c r="FH11"/>
  <c r="FI11"/>
  <c r="FJ11"/>
  <c r="FV11"/>
  <c r="FW11"/>
  <c r="FX11"/>
  <c r="GE11"/>
  <c r="GG11"/>
  <c r="GH11"/>
  <c r="GK11"/>
  <c r="GV11"/>
  <c r="HB11"/>
  <c r="HE11"/>
  <c r="EH8" l="1"/>
  <c r="EH9"/>
  <c r="EH10"/>
  <c r="EH12"/>
  <c r="EH13"/>
  <c r="EH14"/>
  <c r="EH15"/>
  <c r="EH16"/>
  <c r="EH17"/>
  <c r="EH7"/>
  <c r="EI8"/>
  <c r="EI9"/>
  <c r="EI10"/>
  <c r="EI12"/>
  <c r="EI13"/>
  <c r="EI14"/>
  <c r="EI15"/>
  <c r="EI16"/>
  <c r="EI17"/>
  <c r="E18" l="1"/>
  <c r="F18"/>
  <c r="G11" s="1"/>
  <c r="HE7" l="1"/>
  <c r="HE17"/>
  <c r="HE16"/>
  <c r="HE14"/>
  <c r="HE13"/>
  <c r="HE12"/>
  <c r="HE10"/>
  <c r="HE9"/>
  <c r="HE8"/>
  <c r="CR9" l="1"/>
  <c r="CR20"/>
  <c r="F20"/>
  <c r="E20"/>
  <c r="EX18"/>
  <c r="DK17" l="1"/>
  <c r="DK16"/>
  <c r="DK15"/>
  <c r="DK14"/>
  <c r="DK13"/>
  <c r="DK12"/>
  <c r="DK10"/>
  <c r="DK9"/>
  <c r="DK8"/>
  <c r="DK7"/>
  <c r="DM18"/>
  <c r="DP17"/>
  <c r="DP16"/>
  <c r="DP15"/>
  <c r="DP14"/>
  <c r="DP13"/>
  <c r="DP12"/>
  <c r="DP10"/>
  <c r="DP9"/>
  <c r="DP8"/>
  <c r="DP7"/>
  <c r="DU17"/>
  <c r="DU16"/>
  <c r="DU15"/>
  <c r="DU14"/>
  <c r="DU13"/>
  <c r="DU12"/>
  <c r="DU10"/>
  <c r="DU9"/>
  <c r="DU8"/>
  <c r="DU7"/>
  <c r="DB17" l="1"/>
  <c r="DB16"/>
  <c r="DB15"/>
  <c r="DB14"/>
  <c r="DB13"/>
  <c r="DB12"/>
  <c r="DB10"/>
  <c r="DB9"/>
  <c r="EV17" l="1"/>
  <c r="EV16"/>
  <c r="EV15"/>
  <c r="EV14"/>
  <c r="EV13"/>
  <c r="EV10"/>
  <c r="EV9"/>
  <c r="EV7"/>
  <c r="EV18"/>
  <c r="EO7"/>
  <c r="EO17"/>
  <c r="EO16"/>
  <c r="EO15"/>
  <c r="EO14"/>
  <c r="EO13"/>
  <c r="EO12"/>
  <c r="EO10"/>
  <c r="EO9"/>
  <c r="EI7"/>
  <c r="EE18"/>
  <c r="ED18"/>
  <c r="EG7"/>
  <c r="EG8"/>
  <c r="EG9"/>
  <c r="EG15"/>
  <c r="EG14"/>
  <c r="GZ18"/>
  <c r="HG18"/>
  <c r="GM18"/>
  <c r="HD18" l="1"/>
  <c r="HC18"/>
  <c r="HE18" l="1"/>
  <c r="CZ18"/>
  <c r="CS18"/>
  <c r="CU10" l="1"/>
  <c r="CU12"/>
  <c r="CU13"/>
  <c r="CU14"/>
  <c r="CU15"/>
  <c r="CU16"/>
  <c r="CU17"/>
  <c r="CU18"/>
  <c r="CU9"/>
  <c r="EG18" l="1"/>
  <c r="DV8" l="1"/>
  <c r="DV9"/>
  <c r="DV10"/>
  <c r="DV12"/>
  <c r="DV13"/>
  <c r="DV14"/>
  <c r="DV15"/>
  <c r="DV16"/>
  <c r="DV17"/>
  <c r="DV7"/>
  <c r="DW8" l="1"/>
  <c r="DW9"/>
  <c r="DW10"/>
  <c r="DW12"/>
  <c r="DW13"/>
  <c r="DW14"/>
  <c r="DW15"/>
  <c r="DW16"/>
  <c r="DW17"/>
  <c r="DW7"/>
  <c r="EB7" s="1"/>
  <c r="DZ15" l="1"/>
  <c r="EB15"/>
  <c r="DZ14"/>
  <c r="EB14"/>
  <c r="DZ10"/>
  <c r="EB10"/>
  <c r="DZ17"/>
  <c r="EB17"/>
  <c r="DZ13"/>
  <c r="EB13"/>
  <c r="DZ9"/>
  <c r="EB9"/>
  <c r="DZ16"/>
  <c r="EB16"/>
  <c r="DZ12"/>
  <c r="EB12"/>
  <c r="DZ8"/>
  <c r="EB8"/>
  <c r="GG8"/>
  <c r="GG9"/>
  <c r="GG10"/>
  <c r="GG12"/>
  <c r="GG13"/>
  <c r="GG14"/>
  <c r="GG15"/>
  <c r="GG16"/>
  <c r="GG17"/>
  <c r="GG7"/>
  <c r="GH8" l="1"/>
  <c r="GH9"/>
  <c r="GH10"/>
  <c r="GH12"/>
  <c r="GH13"/>
  <c r="GH14"/>
  <c r="GH15"/>
  <c r="GH16"/>
  <c r="GH17"/>
  <c r="GH7"/>
  <c r="GB18"/>
  <c r="GK8" l="1"/>
  <c r="GK9"/>
  <c r="GK10"/>
  <c r="GK12"/>
  <c r="GK13"/>
  <c r="GK14"/>
  <c r="GK15"/>
  <c r="GK16"/>
  <c r="GK17"/>
  <c r="GK18"/>
  <c r="GK7"/>
  <c r="DZ7"/>
  <c r="DW18"/>
  <c r="DX11" s="1"/>
  <c r="DG8" l="1"/>
  <c r="DG9"/>
  <c r="DG10"/>
  <c r="DG12"/>
  <c r="DG13"/>
  <c r="DG14"/>
  <c r="DG15"/>
  <c r="DG16"/>
  <c r="DG17"/>
  <c r="DG18"/>
  <c r="DG7"/>
  <c r="I8"/>
  <c r="I9"/>
  <c r="I10"/>
  <c r="I12"/>
  <c r="I13"/>
  <c r="I14"/>
  <c r="I15"/>
  <c r="I16"/>
  <c r="I17"/>
  <c r="I18"/>
  <c r="I7"/>
  <c r="M12" l="1"/>
  <c r="M15"/>
  <c r="AV9" l="1"/>
  <c r="AV10"/>
  <c r="AV12"/>
  <c r="AV13"/>
  <c r="AV14"/>
  <c r="AV15"/>
  <c r="AV16"/>
  <c r="AV17"/>
  <c r="AV18"/>
  <c r="AV8"/>
  <c r="U8" l="1"/>
  <c r="U9"/>
  <c r="U10"/>
  <c r="U12"/>
  <c r="U13"/>
  <c r="U14"/>
  <c r="U15"/>
  <c r="U16"/>
  <c r="U17"/>
  <c r="U7"/>
  <c r="T8"/>
  <c r="T9"/>
  <c r="T10"/>
  <c r="T12"/>
  <c r="T13"/>
  <c r="T14"/>
  <c r="T15"/>
  <c r="T16"/>
  <c r="T17"/>
  <c r="T7"/>
  <c r="P18"/>
  <c r="J8"/>
  <c r="J9"/>
  <c r="J10"/>
  <c r="J12"/>
  <c r="J13"/>
  <c r="J14"/>
  <c r="J15"/>
  <c r="J16"/>
  <c r="J17"/>
  <c r="J18"/>
  <c r="J7"/>
  <c r="FX8" l="1"/>
  <c r="FX9"/>
  <c r="FX10"/>
  <c r="FX12"/>
  <c r="FX13"/>
  <c r="FX14"/>
  <c r="FX15"/>
  <c r="FX16"/>
  <c r="FX17"/>
  <c r="FX7"/>
  <c r="FW8"/>
  <c r="FW9"/>
  <c r="FW10"/>
  <c r="FW12"/>
  <c r="FW13"/>
  <c r="FW14"/>
  <c r="FW15"/>
  <c r="FW16"/>
  <c r="FW17"/>
  <c r="FW7"/>
  <c r="FV8"/>
  <c r="FV9"/>
  <c r="FV10"/>
  <c r="FV12"/>
  <c r="FV13"/>
  <c r="FV14"/>
  <c r="FV15"/>
  <c r="FV16"/>
  <c r="FV17"/>
  <c r="FV7"/>
  <c r="FJ8" l="1"/>
  <c r="FJ9"/>
  <c r="FJ10"/>
  <c r="FJ12"/>
  <c r="FJ13"/>
  <c r="FJ14"/>
  <c r="FJ15"/>
  <c r="FJ16"/>
  <c r="FJ17"/>
  <c r="FJ7"/>
  <c r="FI8"/>
  <c r="FI9"/>
  <c r="FI10"/>
  <c r="FI12"/>
  <c r="FI13"/>
  <c r="FI14"/>
  <c r="FI15"/>
  <c r="FI16"/>
  <c r="FI17"/>
  <c r="FI7"/>
  <c r="FH8"/>
  <c r="FH9"/>
  <c r="FH10"/>
  <c r="FH12"/>
  <c r="FH13"/>
  <c r="FH14"/>
  <c r="FH15"/>
  <c r="FH16"/>
  <c r="FH17"/>
  <c r="FH7"/>
  <c r="FC8" l="1"/>
  <c r="FC10"/>
  <c r="FC12"/>
  <c r="FC13"/>
  <c r="FC14"/>
  <c r="FC15"/>
  <c r="FC16"/>
  <c r="FC17"/>
  <c r="FC7"/>
  <c r="FB8"/>
  <c r="FB9"/>
  <c r="FB10"/>
  <c r="FB12"/>
  <c r="FB13"/>
  <c r="FB14"/>
  <c r="FB15"/>
  <c r="FB16"/>
  <c r="FB17"/>
  <c r="FB7"/>
  <c r="FA8"/>
  <c r="FA9"/>
  <c r="FA10"/>
  <c r="FA12"/>
  <c r="FA13"/>
  <c r="FA14"/>
  <c r="FA15"/>
  <c r="FA16"/>
  <c r="FA17"/>
  <c r="FA7"/>
  <c r="BC8"/>
  <c r="BC9"/>
  <c r="BC10"/>
  <c r="BC12"/>
  <c r="BC13"/>
  <c r="BC14"/>
  <c r="BC15"/>
  <c r="BC16"/>
  <c r="BC17"/>
  <c r="BC7"/>
  <c r="BJ9" l="1"/>
  <c r="BJ10"/>
  <c r="BJ12"/>
  <c r="BJ13"/>
  <c r="BJ14"/>
  <c r="BJ15"/>
  <c r="BJ16"/>
  <c r="BJ17"/>
  <c r="BJ8"/>
  <c r="CN9"/>
  <c r="CN10"/>
  <c r="CN13"/>
  <c r="CN14"/>
  <c r="CN15"/>
  <c r="CN16"/>
  <c r="CN17"/>
  <c r="CN8"/>
  <c r="CG9"/>
  <c r="CG10"/>
  <c r="CG12"/>
  <c r="CG13"/>
  <c r="CG14"/>
  <c r="CG15"/>
  <c r="CG16"/>
  <c r="CG17"/>
  <c r="CG8"/>
  <c r="CB7"/>
  <c r="CA7"/>
  <c r="BZ8"/>
  <c r="BZ9"/>
  <c r="BZ10"/>
  <c r="BZ12"/>
  <c r="BZ13"/>
  <c r="BZ14"/>
  <c r="BZ15"/>
  <c r="BZ16"/>
  <c r="BZ17"/>
  <c r="BZ7"/>
  <c r="BY8"/>
  <c r="BY9"/>
  <c r="BY10"/>
  <c r="BY12"/>
  <c r="BY13"/>
  <c r="BY14"/>
  <c r="BY15"/>
  <c r="BY16"/>
  <c r="BY17"/>
  <c r="BY7"/>
  <c r="BQ8"/>
  <c r="BQ9"/>
  <c r="BQ10"/>
  <c r="BQ12"/>
  <c r="BQ13"/>
  <c r="BQ14"/>
  <c r="BQ15"/>
  <c r="BQ16"/>
  <c r="BQ17"/>
  <c r="BQ7"/>
  <c r="BP8"/>
  <c r="BP9"/>
  <c r="BP10"/>
  <c r="BP12"/>
  <c r="BP13"/>
  <c r="BP14"/>
  <c r="BP15"/>
  <c r="BP16"/>
  <c r="BP17"/>
  <c r="BP7"/>
  <c r="BM18"/>
  <c r="B18" l="1"/>
  <c r="EH18" s="1"/>
  <c r="C18"/>
  <c r="DK18" l="1"/>
  <c r="DP18"/>
  <c r="DU18"/>
  <c r="EI18"/>
  <c r="EB18"/>
  <c r="T18"/>
  <c r="DC17"/>
  <c r="DC16"/>
  <c r="DC15"/>
  <c r="DC14"/>
  <c r="DC13"/>
  <c r="DC12"/>
  <c r="DC10"/>
  <c r="DC9"/>
  <c r="DC8"/>
  <c r="CV17"/>
  <c r="CV16"/>
  <c r="CV15"/>
  <c r="CV14"/>
  <c r="CV13"/>
  <c r="CV12"/>
  <c r="CV10"/>
  <c r="CV9"/>
  <c r="CR8"/>
  <c r="CV8" s="1"/>
  <c r="BG18"/>
  <c r="BH18"/>
  <c r="BA18"/>
  <c r="AZ18"/>
  <c r="AI17"/>
  <c r="AI16"/>
  <c r="AI15"/>
  <c r="AI14"/>
  <c r="AI13"/>
  <c r="AI12"/>
  <c r="AI10"/>
  <c r="AI9"/>
  <c r="AI8"/>
  <c r="BJ18" l="1"/>
  <c r="BC18"/>
  <c r="CL18"/>
  <c r="CJ8"/>
  <c r="CJ9"/>
  <c r="CJ10"/>
  <c r="CJ12"/>
  <c r="CJ13"/>
  <c r="CJ14"/>
  <c r="CJ15"/>
  <c r="CJ16"/>
  <c r="CJ17"/>
  <c r="CD18"/>
  <c r="BW18"/>
  <c r="BY18" s="1"/>
  <c r="AH17"/>
  <c r="AH16"/>
  <c r="AH14"/>
  <c r="AH9"/>
  <c r="AH8"/>
  <c r="AH13"/>
  <c r="AH10"/>
  <c r="AH12"/>
  <c r="AH15"/>
  <c r="AB7"/>
  <c r="AA7"/>
  <c r="AB17"/>
  <c r="AB16"/>
  <c r="AB13"/>
  <c r="AB12"/>
  <c r="AB9"/>
  <c r="AB8"/>
  <c r="AB15"/>
  <c r="AB14"/>
  <c r="AB10"/>
  <c r="AA17"/>
  <c r="AA16"/>
  <c r="AA13"/>
  <c r="AA12"/>
  <c r="AA9"/>
  <c r="AA8"/>
  <c r="AA15"/>
  <c r="AA14"/>
  <c r="AA10"/>
  <c r="BN18" l="1"/>
  <c r="BP18" s="1"/>
  <c r="BO18"/>
  <c r="CK18"/>
  <c r="CN18" s="1"/>
  <c r="BX18"/>
  <c r="BZ18" s="1"/>
  <c r="CE18"/>
  <c r="CG18" s="1"/>
  <c r="BQ18" l="1"/>
  <c r="CB17"/>
  <c r="CB16"/>
  <c r="CB15"/>
  <c r="CB14"/>
  <c r="CB13"/>
  <c r="CB12"/>
  <c r="CB10"/>
  <c r="CB9"/>
  <c r="CB8"/>
  <c r="CA17"/>
  <c r="CA16"/>
  <c r="CA15"/>
  <c r="CA14"/>
  <c r="CA13"/>
  <c r="CA12"/>
  <c r="CA10"/>
  <c r="CA9"/>
  <c r="CA8"/>
  <c r="BS8"/>
  <c r="BS9"/>
  <c r="BS10"/>
  <c r="BS12"/>
  <c r="BS13"/>
  <c r="BS14"/>
  <c r="BS15"/>
  <c r="BS16"/>
  <c r="BS17"/>
  <c r="CH8"/>
  <c r="CI8"/>
  <c r="CH9"/>
  <c r="CI9"/>
  <c r="CH10"/>
  <c r="CI10"/>
  <c r="CH12"/>
  <c r="CI12"/>
  <c r="CH13"/>
  <c r="CI13"/>
  <c r="CH14"/>
  <c r="CI14"/>
  <c r="CH15"/>
  <c r="CI15"/>
  <c r="CH16"/>
  <c r="CI16"/>
  <c r="CH17"/>
  <c r="CI17"/>
  <c r="CO17" l="1"/>
  <c r="CO16"/>
  <c r="CO15"/>
  <c r="CO14"/>
  <c r="CO13"/>
  <c r="CO12"/>
  <c r="CO10"/>
  <c r="CO9"/>
  <c r="CO8"/>
  <c r="CP17"/>
  <c r="CP16"/>
  <c r="CP15"/>
  <c r="CP14"/>
  <c r="CP13"/>
  <c r="CP12"/>
  <c r="CP10"/>
  <c r="CP9"/>
  <c r="CP8"/>
  <c r="CZ8"/>
  <c r="CS8"/>
  <c r="DB18" l="1"/>
  <c r="CW10"/>
  <c r="CW14"/>
  <c r="DD15"/>
  <c r="CW15"/>
  <c r="DD8"/>
  <c r="DD12"/>
  <c r="DD16"/>
  <c r="CW8"/>
  <c r="CW12"/>
  <c r="CW16"/>
  <c r="DD9"/>
  <c r="DD13"/>
  <c r="DD17"/>
  <c r="CW9"/>
  <c r="CW13"/>
  <c r="CW17"/>
  <c r="DD10"/>
  <c r="DD14"/>
  <c r="DX17"/>
  <c r="DX16"/>
  <c r="DX15"/>
  <c r="DX14"/>
  <c r="DX13"/>
  <c r="DX12"/>
  <c r="DX10"/>
  <c r="DX9"/>
  <c r="DX8"/>
  <c r="DX7"/>
  <c r="X18" l="1"/>
  <c r="W18"/>
  <c r="V18"/>
  <c r="Q18"/>
  <c r="U18" s="1"/>
  <c r="O18"/>
  <c r="U19" l="1"/>
  <c r="T19"/>
  <c r="G7"/>
  <c r="HB17"/>
  <c r="HB16"/>
  <c r="HB15"/>
  <c r="HB14"/>
  <c r="HB13"/>
  <c r="HB12"/>
  <c r="HB10"/>
  <c r="HB9"/>
  <c r="HB8"/>
  <c r="HB7"/>
  <c r="DB8"/>
  <c r="CU8"/>
  <c r="AM15" l="1"/>
  <c r="AM8"/>
  <c r="AM12"/>
  <c r="AM16"/>
  <c r="EV19"/>
  <c r="AM7"/>
  <c r="AM9"/>
  <c r="AM13"/>
  <c r="AM17"/>
  <c r="AM10"/>
  <c r="AM14"/>
  <c r="AL18"/>
  <c r="AP7"/>
  <c r="AK18"/>
  <c r="FF18" l="1"/>
  <c r="EA17"/>
  <c r="EA16"/>
  <c r="EA15"/>
  <c r="EA14"/>
  <c r="EA13"/>
  <c r="EA12"/>
  <c r="EA10"/>
  <c r="EA9"/>
  <c r="EA8"/>
  <c r="EA7"/>
  <c r="DT17"/>
  <c r="DT16"/>
  <c r="DT15"/>
  <c r="DT14"/>
  <c r="DT13"/>
  <c r="DT12"/>
  <c r="DT10"/>
  <c r="DT9"/>
  <c r="DT8"/>
  <c r="DT7"/>
  <c r="DO17"/>
  <c r="DO16"/>
  <c r="DO15"/>
  <c r="DO14"/>
  <c r="DO13"/>
  <c r="DO12"/>
  <c r="DO10"/>
  <c r="DO9"/>
  <c r="DO8"/>
  <c r="DO7"/>
  <c r="DJ17"/>
  <c r="DJ16"/>
  <c r="DJ15"/>
  <c r="DJ14"/>
  <c r="DJ13"/>
  <c r="DJ12"/>
  <c r="DJ10"/>
  <c r="DJ9"/>
  <c r="DJ8"/>
  <c r="DJ7"/>
  <c r="DN8"/>
  <c r="DN9"/>
  <c r="DN10"/>
  <c r="DN12"/>
  <c r="DN13"/>
  <c r="DN14"/>
  <c r="DN15"/>
  <c r="DN16"/>
  <c r="DN17"/>
  <c r="DN7"/>
  <c r="FJ18" l="1"/>
  <c r="DE19"/>
  <c r="CR19" l="1"/>
  <c r="CY19"/>
  <c r="GE17" l="1"/>
  <c r="GE16"/>
  <c r="GE15"/>
  <c r="GE14"/>
  <c r="GE13"/>
  <c r="GE12"/>
  <c r="GE10"/>
  <c r="GE9"/>
  <c r="GE8"/>
  <c r="GE7"/>
  <c r="GE18" l="1"/>
  <c r="EL21"/>
  <c r="GV18" l="1"/>
  <c r="GV8"/>
  <c r="GV9"/>
  <c r="GV10"/>
  <c r="GV12"/>
  <c r="GV13"/>
  <c r="GV14"/>
  <c r="GV15"/>
  <c r="GV16"/>
  <c r="GV17"/>
  <c r="GV7"/>
  <c r="DL19" l="1"/>
  <c r="BR8" l="1"/>
  <c r="GC18"/>
  <c r="GG18" s="1"/>
  <c r="FD18"/>
  <c r="FE18"/>
  <c r="BK8"/>
  <c r="BK9"/>
  <c r="BK10"/>
  <c r="BK12"/>
  <c r="BK13"/>
  <c r="BK14"/>
  <c r="BK15"/>
  <c r="BK16"/>
  <c r="BK17"/>
  <c r="AP17"/>
  <c r="AP16"/>
  <c r="AP15"/>
  <c r="AP14"/>
  <c r="AP13"/>
  <c r="AP12"/>
  <c r="AP10"/>
  <c r="AP9"/>
  <c r="AP8"/>
  <c r="AQ8"/>
  <c r="AW8"/>
  <c r="BD17"/>
  <c r="BD16"/>
  <c r="BD15"/>
  <c r="BD14"/>
  <c r="BD13"/>
  <c r="BD12"/>
  <c r="BD10"/>
  <c r="BD9"/>
  <c r="BD8"/>
  <c r="AX8"/>
  <c r="AQ7"/>
  <c r="G13"/>
  <c r="GD18"/>
  <c r="GF11" s="1"/>
  <c r="GA18"/>
  <c r="FZ18"/>
  <c r="FY18"/>
  <c r="ER18"/>
  <c r="FS18"/>
  <c r="FT11" s="1"/>
  <c r="FR18"/>
  <c r="FW18" s="1"/>
  <c r="FQ18"/>
  <c r="FP18"/>
  <c r="FO18"/>
  <c r="FN18"/>
  <c r="FM18"/>
  <c r="FL18"/>
  <c r="FK18"/>
  <c r="FB18"/>
  <c r="EW18"/>
  <c r="EJ18"/>
  <c r="DL18"/>
  <c r="DV18" s="1"/>
  <c r="DZ18" s="1"/>
  <c r="DS17"/>
  <c r="BU17"/>
  <c r="BT17"/>
  <c r="BR17"/>
  <c r="BL17"/>
  <c r="BE17"/>
  <c r="AX17"/>
  <c r="AW17"/>
  <c r="AQ17"/>
  <c r="M17"/>
  <c r="L17"/>
  <c r="DS16"/>
  <c r="BU16"/>
  <c r="BT16"/>
  <c r="BR16"/>
  <c r="BL16"/>
  <c r="BE16"/>
  <c r="AX16"/>
  <c r="AW16"/>
  <c r="AQ16"/>
  <c r="M16"/>
  <c r="L16"/>
  <c r="DS15"/>
  <c r="BU15"/>
  <c r="BT15"/>
  <c r="BR15"/>
  <c r="BL15"/>
  <c r="BE15"/>
  <c r="AX15"/>
  <c r="AW15"/>
  <c r="AQ15"/>
  <c r="L15"/>
  <c r="DS14"/>
  <c r="BU14"/>
  <c r="BT14"/>
  <c r="BR14"/>
  <c r="BL14"/>
  <c r="BE14"/>
  <c r="AX14"/>
  <c r="AW14"/>
  <c r="AQ14"/>
  <c r="M14"/>
  <c r="L14"/>
  <c r="DS13"/>
  <c r="BU13"/>
  <c r="BT13"/>
  <c r="BR13"/>
  <c r="BL13"/>
  <c r="BE13"/>
  <c r="AX13"/>
  <c r="AW13"/>
  <c r="AQ13"/>
  <c r="M13"/>
  <c r="L13"/>
  <c r="DS12"/>
  <c r="BU12"/>
  <c r="BT12"/>
  <c r="BR12"/>
  <c r="BL12"/>
  <c r="BE12"/>
  <c r="AX12"/>
  <c r="AW12"/>
  <c r="AQ12"/>
  <c r="L12"/>
  <c r="DS10"/>
  <c r="BU10"/>
  <c r="BT10"/>
  <c r="BR10"/>
  <c r="BL10"/>
  <c r="BE10"/>
  <c r="AX10"/>
  <c r="AW10"/>
  <c r="AQ10"/>
  <c r="M10"/>
  <c r="L10"/>
  <c r="DS9"/>
  <c r="BU9"/>
  <c r="BT9"/>
  <c r="BR9"/>
  <c r="BL9"/>
  <c r="BE9"/>
  <c r="AX9"/>
  <c r="AW9"/>
  <c r="AQ9"/>
  <c r="M9"/>
  <c r="N11" s="1"/>
  <c r="L9"/>
  <c r="DS8"/>
  <c r="BU8"/>
  <c r="BT8"/>
  <c r="BL8"/>
  <c r="BE8"/>
  <c r="M8"/>
  <c r="L8"/>
  <c r="DS7"/>
  <c r="M7"/>
  <c r="L7"/>
  <c r="G15"/>
  <c r="G17"/>
  <c r="G8"/>
  <c r="G12"/>
  <c r="G14"/>
  <c r="G16"/>
  <c r="G9"/>
  <c r="G10"/>
  <c r="H11" l="1"/>
  <c r="GH18"/>
  <c r="DN18"/>
  <c r="FC18"/>
  <c r="FA18"/>
  <c r="FX18"/>
  <c r="FV18"/>
  <c r="FI18"/>
  <c r="FH18"/>
  <c r="DC18"/>
  <c r="BD18"/>
  <c r="AH18"/>
  <c r="BK18"/>
  <c r="CV18"/>
  <c r="AW18"/>
  <c r="CA18"/>
  <c r="CH18"/>
  <c r="AA18"/>
  <c r="DD18"/>
  <c r="AI18"/>
  <c r="CI18"/>
  <c r="CB18"/>
  <c r="AB18"/>
  <c r="CP18"/>
  <c r="CO18"/>
  <c r="BT18"/>
  <c r="L18"/>
  <c r="AP18"/>
  <c r="CW18"/>
  <c r="BL18"/>
  <c r="BU18"/>
  <c r="BE18"/>
  <c r="M18"/>
  <c r="AX18"/>
  <c r="AQ18"/>
  <c r="DJ18"/>
  <c r="DO18"/>
  <c r="DT18"/>
  <c r="O21"/>
  <c r="K7"/>
  <c r="N14"/>
  <c r="H13"/>
  <c r="H12"/>
  <c r="H10"/>
  <c r="H7"/>
  <c r="H17"/>
  <c r="H8"/>
  <c r="H14"/>
  <c r="H16"/>
  <c r="H15"/>
  <c r="H9"/>
  <c r="N9"/>
  <c r="K9"/>
  <c r="K16"/>
  <c r="K17"/>
  <c r="FT8"/>
  <c r="FT12"/>
  <c r="FT16"/>
  <c r="FT9"/>
  <c r="FT13"/>
  <c r="FT17"/>
  <c r="FT10"/>
  <c r="FT14"/>
  <c r="FT7"/>
  <c r="FT15"/>
  <c r="GF15"/>
  <c r="GF8"/>
  <c r="GF14"/>
  <c r="GF10"/>
  <c r="GF17"/>
  <c r="GF13"/>
  <c r="GF9"/>
  <c r="GF16"/>
  <c r="GF12"/>
  <c r="GF7"/>
  <c r="EO18"/>
  <c r="K8"/>
  <c r="N8"/>
  <c r="N7"/>
  <c r="K10"/>
  <c r="K15"/>
  <c r="N12"/>
  <c r="K14"/>
  <c r="N15"/>
  <c r="N16"/>
  <c r="K13"/>
  <c r="K12"/>
  <c r="N10"/>
  <c r="N17"/>
  <c r="N13"/>
  <c r="EA18" l="1"/>
  <c r="EB22" s="1"/>
  <c r="N18"/>
  <c r="EI21"/>
</calcChain>
</file>

<file path=xl/sharedStrings.xml><?xml version="1.0" encoding="utf-8"?>
<sst xmlns="http://schemas.openxmlformats.org/spreadsheetml/2006/main" count="213" uniqueCount="102">
  <si>
    <t xml:space="preserve">Показатели мониторинга комплексной оценки социально-экономического развития муниципальных образований в Республике Алтай </t>
  </si>
  <si>
    <t>Наименование муниципального образования</t>
  </si>
  <si>
    <t>Объем отгруженных товаров собственного производства, выполнено работ и услуг собственными силами, по кругу предприятий  не относящихся к субъектам малого предпринимательства (тыс. руб.)</t>
  </si>
  <si>
    <r>
      <t xml:space="preserve">Объем отгруженных товаров собственного производства, выполнено работ и услуг собственными силами, по кругу предприятий  не относящихся к субъектам малого предпринимательства (тыс. руб.)                      </t>
    </r>
    <r>
      <rPr>
        <b/>
        <sz val="11"/>
        <color indexed="10"/>
        <rFont val="Times New Roman"/>
        <family val="1"/>
        <charset val="204"/>
      </rPr>
      <t>(по промышленным видам деятельности)</t>
    </r>
  </si>
  <si>
    <t>Объем производства продукции животноводства в хозяйствах всех категорий, тыс. рублей</t>
  </si>
  <si>
    <t>Объем производства продукции растениеводства в хозяйствах всех категорий, тыс. рублей</t>
  </si>
  <si>
    <t>Производство молока в хозяйствах всех категорий, тонн</t>
  </si>
  <si>
    <t>Производство скота и птицы на убой в живой массе, тонн</t>
  </si>
  <si>
    <t>Поголовье крупного рогатого скота в хозяйствах всех категорий, голов</t>
  </si>
  <si>
    <t xml:space="preserve">Поголовье овец и коз в хозяйствах всех категорий, голов </t>
  </si>
  <si>
    <t xml:space="preserve">Поголовье лошадей в хозяйствах всех категорий, голов </t>
  </si>
  <si>
    <t>Поголовье маралов в хозяйствах всех категорий, голов</t>
  </si>
  <si>
    <t>Объем инвестиций в основной капитал по предприятиям не относящимся к субъектам малого предпринимательства, млн. руб. </t>
  </si>
  <si>
    <t>Число субъектов малого и среднего предпринимательства, ед.</t>
  </si>
  <si>
    <t>Число родившихся, человек</t>
  </si>
  <si>
    <r>
      <t>Смертность населения</t>
    </r>
    <r>
      <rPr>
        <b/>
        <sz val="14"/>
        <rFont val="Times New Roman"/>
        <family val="1"/>
        <charset val="204"/>
      </rPr>
      <t xml:space="preserve"> от внешних причин</t>
    </r>
    <r>
      <rPr>
        <b/>
        <sz val="11"/>
        <rFont val="Times New Roman"/>
        <family val="1"/>
        <charset val="204"/>
      </rPr>
      <t xml:space="preserve">, чел.  </t>
    </r>
  </si>
  <si>
    <t>Объем работ, выполненных собственными силами по виду деятельности "Строительство"</t>
  </si>
  <si>
    <t xml:space="preserve">Ввод жилья, кв. м. </t>
  </si>
  <si>
    <t>Среднемесячная номинальная заработная плата работников по крупным, средним и некоммерческим организациям (без учета некоммерческих организаций с численностью до 15 чел.) рублей</t>
  </si>
  <si>
    <t>Налоговые доходы консолидированного бюджета муниципального образования (без учета доходов от уплаты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производимых на территории Российской Федерации)</t>
  </si>
  <si>
    <t>Уровень  регистрируемой безработицы, %</t>
  </si>
  <si>
    <t>ДОЛЯ</t>
  </si>
  <si>
    <t>ранг</t>
  </si>
  <si>
    <t>Темп роста, % 2017</t>
  </si>
  <si>
    <t>Темп роста, % 2018</t>
  </si>
  <si>
    <t>на душу населения 2017</t>
  </si>
  <si>
    <t>на душу населения 2018</t>
  </si>
  <si>
    <t>Индекс физического объема, % 2017</t>
  </si>
  <si>
    <t>Индекс физического объема, % 2018</t>
  </si>
  <si>
    <t>на 1000 населения, 2018</t>
  </si>
  <si>
    <t>на душу населения, 2018</t>
  </si>
  <si>
    <t>на 1000 чел. 2018</t>
  </si>
  <si>
    <t>Индекс физического объема, % 2016</t>
  </si>
  <si>
    <t>на душу населения 2016</t>
  </si>
  <si>
    <t>-</t>
  </si>
  <si>
    <t>МО "Кош-Агачский район"</t>
  </si>
  <si>
    <t>МО "Майминский район"</t>
  </si>
  <si>
    <t>МО "Онгудайский район"</t>
  </si>
  <si>
    <t>МО "Турочакский район"</t>
  </si>
  <si>
    <t>МО "Улаганский район"</t>
  </si>
  <si>
    <t>МО "Усть-Канский район"</t>
  </si>
  <si>
    <t>МО "Усть-Коксинский район"</t>
  </si>
  <si>
    <t>МО "Чемальский район"</t>
  </si>
  <si>
    <t>МО "Чойский район"</t>
  </si>
  <si>
    <t>МО "Шебалинский район"</t>
  </si>
  <si>
    <t xml:space="preserve">Всего по РА </t>
  </si>
  <si>
    <t>54_g</t>
  </si>
  <si>
    <t xml:space="preserve">раб.09+ раб.08 кв. </t>
  </si>
  <si>
    <t>раб.09+ раб.08 кв. по CDE</t>
  </si>
  <si>
    <t>раб.М_03</t>
  </si>
  <si>
    <t>раб М_05</t>
  </si>
  <si>
    <t>раб. М06</t>
  </si>
  <si>
    <t>по сопоставимому кругу</t>
  </si>
  <si>
    <t>раб.М01_2кв.+ оборот по средним</t>
  </si>
  <si>
    <t>55_06</t>
  </si>
  <si>
    <t>раб.22</t>
  </si>
  <si>
    <t>Производство молока в сельскохозяйственных организациях и крестьянских (фермерских) хозяйствах, включая индивидуальных предпринимателей, тонн</t>
  </si>
  <si>
    <t>доля</t>
  </si>
  <si>
    <t xml:space="preserve"> </t>
  </si>
  <si>
    <t>Удельный вес детей в возрасте от 5 до 18 лет, получающих услуги по дополнительному образованию в организациях различной организационно-правовой формы и формы собственности, %</t>
  </si>
  <si>
    <t xml:space="preserve">Ранг по темпу </t>
  </si>
  <si>
    <t>Уровень достижения плана</t>
  </si>
  <si>
    <t>Ранг по достижению плана</t>
  </si>
  <si>
    <t xml:space="preserve">Коэфициент достижения </t>
  </si>
  <si>
    <t>К ср по РА</t>
  </si>
  <si>
    <t>Объем производства продукции сельского хозяйства в хозяйствах всех категорий, тыс. рублей</t>
  </si>
  <si>
    <t>Объем инвестиций в основной капитал по полному кругу, млн. руб. </t>
  </si>
  <si>
    <t>Доля протяженности автомобильных дорог местного значения с твердым покрытием, %</t>
  </si>
  <si>
    <t>Развитие института оценки регулирующего воздействия, баллы</t>
  </si>
  <si>
    <t>Уровень достижения плана, %</t>
  </si>
  <si>
    <t>Число несовершеннолетних, пострадавших от преступных посягательств, чел. на 1000</t>
  </si>
  <si>
    <t>Валовый сбор овощей открытого грунта  в  сельскохозяйственных организациях и крестьянских (фермерских) хозяйствах, включая индивидуальных предпринимателей (тонн)</t>
  </si>
  <si>
    <t>Валовый сбор картофеля в  сельскохозяйственных организациях и крестьянских (фермерских) хозяйствах, включая индивидуальных предпринимателей (тонн)</t>
  </si>
  <si>
    <t>доля в объеме с/х</t>
  </si>
  <si>
    <t>Темп роста, % 2019</t>
  </si>
  <si>
    <t>2019, млн. руб.</t>
  </si>
  <si>
    <t>на 1000 чел. 2019</t>
  </si>
  <si>
    <t>на 100 тыс. чел. 2019</t>
  </si>
  <si>
    <t>на 100 тыс.  чел. 2018</t>
  </si>
  <si>
    <t>на 10 тыс. человек 2019</t>
  </si>
  <si>
    <t>на 10 тыс. человек  2018</t>
  </si>
  <si>
    <t>на душу населения 2019</t>
  </si>
  <si>
    <t>Индекс физ. объема, % 2019</t>
  </si>
  <si>
    <t>Индекс физ. объема, %  2018</t>
  </si>
  <si>
    <t>на 1000 населения, 2019</t>
  </si>
  <si>
    <t>на душу населения, 2019</t>
  </si>
  <si>
    <t>Индекс физического объема, % 2019</t>
  </si>
  <si>
    <t>за 2019 год</t>
  </si>
  <si>
    <t>готово</t>
  </si>
  <si>
    <t>на 2019 год с коэфф. Досчета 1,47</t>
  </si>
  <si>
    <t>на душу населения  2018</t>
  </si>
  <si>
    <t xml:space="preserve">Доступность дошкольного образования для детей в возрасте от 2-х месяцев до 3-х лет (отношение численности детей в возрасте от 2-х месяцев до 3-х лет, получающих дошкольное образование в текущем году, к сумме численности детей в возрасте от 2-х месяцев до 3-х лет, получающих дошкольное образование в текущем году, и численности детей от 2-х месяцев до 3-х лет, находящихся в очереди на получение в текущем году дошкольного образования </t>
  </si>
  <si>
    <t>МО "Горно-Алтайск"</t>
  </si>
  <si>
    <r>
      <t xml:space="preserve">Объем </t>
    </r>
    <r>
      <rPr>
        <b/>
        <u/>
        <sz val="11"/>
        <rFont val="Times New Roman"/>
        <family val="1"/>
        <charset val="204"/>
      </rPr>
      <t>бюджетных</t>
    </r>
    <r>
      <rPr>
        <b/>
        <sz val="11"/>
        <rFont val="Times New Roman"/>
        <family val="1"/>
        <charset val="204"/>
      </rPr>
      <t xml:space="preserve"> инвестиций в основной капитал по предприятиям, не относящимся к субъектам малого предпринимательства, млн. руб.</t>
    </r>
  </si>
  <si>
    <r>
      <t xml:space="preserve">Объем инвестиций в основной капитал </t>
    </r>
    <r>
      <rPr>
        <b/>
        <u/>
        <sz val="11"/>
        <rFont val="Times New Roman"/>
        <family val="1"/>
        <charset val="204"/>
      </rPr>
      <t>за исключением бюджетных</t>
    </r>
    <r>
      <rPr>
        <b/>
        <sz val="11"/>
        <rFont val="Times New Roman"/>
        <family val="1"/>
        <charset val="204"/>
      </rPr>
      <t xml:space="preserve"> средств, по предприятиям , не относящимся к субъектам малого предпринимательства (млн. руб.)</t>
    </r>
  </si>
  <si>
    <t>всего дорог 2019</t>
  </si>
  <si>
    <t>из них с твердым покрытием 2019</t>
  </si>
  <si>
    <t>Среднегодовая численность постоянного населения на 01.01.2020 года (человек)</t>
  </si>
  <si>
    <t>Среднегодовая численность постоянного населения на 01.01.2018 года (человек)</t>
  </si>
  <si>
    <t>Среднесписочная численность работников малых (без микропредприятий) и средних предприятий (без внешних совместителей), чел.</t>
  </si>
  <si>
    <t>млн. руб.2019</t>
  </si>
  <si>
    <t>Оборот организаций малого и среднего предпринимательства, (без микропредприятий) тыс. руб.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</si>
</sst>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#,##0.000"/>
    <numFmt numFmtId="167" formatCode="0.000"/>
    <numFmt numFmtId="168" formatCode="#,##0.0\ _₽"/>
    <numFmt numFmtId="169" formatCode="0.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6" tint="-0.249977111117893"/>
      <name val="Times New Roman"/>
      <family val="1"/>
      <charset val="204"/>
    </font>
    <font>
      <b/>
      <sz val="12"/>
      <color theme="6" tint="-0.24997711111789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40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NumberFormat="1" applyFont="1"/>
    <xf numFmtId="0" fontId="3" fillId="0" borderId="0" xfId="0" applyFont="1" applyAlignment="1"/>
    <xf numFmtId="0" fontId="3" fillId="3" borderId="0" xfId="0" applyFont="1" applyFill="1" applyAlignment="1"/>
    <xf numFmtId="0" fontId="4" fillId="0" borderId="0" xfId="0" applyFont="1"/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15" borderId="4" xfId="0" applyFont="1" applyFill="1" applyBorder="1" applyAlignment="1" applyProtection="1">
      <alignment horizontal="center" vertical="center" wrapText="1"/>
      <protection locked="0"/>
    </xf>
    <xf numFmtId="0" fontId="7" fillId="15" borderId="5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2" fillId="8" borderId="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 applyProtection="1">
      <alignment horizontal="center" vertical="center" wrapText="1"/>
      <protection locked="0"/>
    </xf>
    <xf numFmtId="0" fontId="7" fillId="13" borderId="8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 applyProtection="1">
      <alignment horizontal="center" vertical="center" wrapText="1"/>
      <protection locked="0"/>
    </xf>
    <xf numFmtId="0" fontId="7" fillId="15" borderId="8" xfId="0" applyFont="1" applyFill="1" applyBorder="1" applyAlignment="1" applyProtection="1">
      <alignment horizontal="center" vertical="center" wrapText="1"/>
      <protection locked="0"/>
    </xf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 applyProtection="1">
      <alignment horizontal="center" vertical="center" wrapText="1"/>
      <protection locked="0"/>
    </xf>
    <xf numFmtId="0" fontId="7" fillId="16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wrapText="1"/>
    </xf>
    <xf numFmtId="0" fontId="7" fillId="19" borderId="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164" fontId="2" fillId="2" borderId="7" xfId="0" applyNumberFormat="1" applyFont="1" applyFill="1" applyBorder="1" applyAlignment="1" applyProtection="1">
      <alignment horizontal="center" wrapText="1"/>
      <protection locked="0"/>
    </xf>
    <xf numFmtId="1" fontId="2" fillId="2" borderId="7" xfId="0" applyNumberFormat="1" applyFont="1" applyFill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164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Protection="1"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 wrapText="1"/>
      <protection locked="0"/>
    </xf>
    <xf numFmtId="164" fontId="3" fillId="0" borderId="7" xfId="0" applyNumberFormat="1" applyFont="1" applyBorder="1" applyAlignment="1" applyProtection="1">
      <alignment horizontal="center" wrapText="1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/>
    <xf numFmtId="2" fontId="2" fillId="3" borderId="0" xfId="0" applyNumberFormat="1" applyFont="1" applyFill="1"/>
    <xf numFmtId="0" fontId="16" fillId="2" borderId="0" xfId="0" applyFont="1" applyFill="1"/>
    <xf numFmtId="14" fontId="16" fillId="2" borderId="0" xfId="0" applyNumberFormat="1" applyFont="1" applyFill="1"/>
    <xf numFmtId="0" fontId="2" fillId="0" borderId="0" xfId="0" applyFont="1" applyProtection="1">
      <protection locked="0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3" borderId="7" xfId="0" applyNumberFormat="1" applyFont="1" applyFill="1" applyBorder="1" applyAlignment="1" applyProtection="1">
      <alignment horizontal="center" wrapText="1"/>
      <protection locked="0"/>
    </xf>
    <xf numFmtId="164" fontId="17" fillId="3" borderId="7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/>
    <xf numFmtId="164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3" borderId="1" xfId="0" applyNumberFormat="1" applyFont="1" applyFill="1" applyBorder="1" applyAlignment="1" applyProtection="1">
      <alignment horizontal="right" wrapText="1"/>
      <protection locked="0"/>
    </xf>
    <xf numFmtId="1" fontId="18" fillId="3" borderId="1" xfId="0" applyNumberFormat="1" applyFont="1" applyFill="1" applyBorder="1" applyAlignment="1" applyProtection="1">
      <alignment horizontal="right" wrapText="1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0" fontId="17" fillId="3" borderId="1" xfId="0" applyFont="1" applyFill="1" applyBorder="1" applyAlignment="1" applyProtection="1">
      <alignment horizontal="center" wrapText="1"/>
      <protection locked="0"/>
    </xf>
    <xf numFmtId="1" fontId="3" fillId="2" borderId="7" xfId="0" applyNumberFormat="1" applyFont="1" applyFill="1" applyBorder="1" applyAlignment="1" applyProtection="1">
      <alignment horizontal="center" wrapText="1"/>
      <protection locked="0"/>
    </xf>
    <xf numFmtId="164" fontId="17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 applyProtection="1"/>
    <xf numFmtId="0" fontId="17" fillId="3" borderId="7" xfId="0" applyFont="1" applyFill="1" applyBorder="1" applyAlignment="1" applyProtection="1"/>
    <xf numFmtId="0" fontId="2" fillId="0" borderId="7" xfId="0" applyFont="1" applyFill="1" applyBorder="1"/>
    <xf numFmtId="0" fontId="20" fillId="2" borderId="7" xfId="0" applyFont="1" applyFill="1" applyBorder="1" applyAlignment="1">
      <alignment wrapText="1"/>
    </xf>
    <xf numFmtId="0" fontId="20" fillId="2" borderId="7" xfId="0" applyFont="1" applyFill="1" applyBorder="1"/>
    <xf numFmtId="0" fontId="15" fillId="2" borderId="7" xfId="0" applyFont="1" applyFill="1" applyBorder="1"/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0" borderId="7" xfId="0" applyNumberFormat="1" applyFont="1" applyFill="1" applyBorder="1" applyAlignment="1" applyProtection="1">
      <alignment horizontal="center" wrapText="1"/>
      <protection locked="0"/>
    </xf>
    <xf numFmtId="165" fontId="3" fillId="2" borderId="7" xfId="0" applyNumberFormat="1" applyFont="1" applyFill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 wrapText="1"/>
      <protection locked="0"/>
    </xf>
    <xf numFmtId="165" fontId="2" fillId="20" borderId="7" xfId="0" applyNumberFormat="1" applyFont="1" applyFill="1" applyBorder="1" applyAlignment="1" applyProtection="1">
      <alignment horizontal="center" wrapText="1"/>
      <protection locked="0"/>
    </xf>
    <xf numFmtId="165" fontId="2" fillId="0" borderId="7" xfId="0" applyNumberFormat="1" applyFont="1" applyBorder="1" applyAlignment="1" applyProtection="1">
      <alignment horizontal="center" wrapText="1"/>
      <protection locked="0"/>
    </xf>
    <xf numFmtId="165" fontId="2" fillId="3" borderId="7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164" fontId="2" fillId="4" borderId="7" xfId="0" applyNumberFormat="1" applyFont="1" applyFill="1" applyBorder="1" applyAlignment="1" applyProtection="1">
      <alignment horizontal="center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7" fillId="22" borderId="8" xfId="0" applyFont="1" applyFill="1" applyBorder="1" applyAlignment="1">
      <alignment horizontal="center" vertical="center" wrapText="1"/>
    </xf>
    <xf numFmtId="0" fontId="7" fillId="23" borderId="8" xfId="0" applyFont="1" applyFill="1" applyBorder="1" applyAlignment="1">
      <alignment horizontal="center" vertical="center" wrapText="1"/>
    </xf>
    <xf numFmtId="0" fontId="9" fillId="23" borderId="8" xfId="0" applyFont="1" applyFill="1" applyBorder="1" applyAlignment="1">
      <alignment horizontal="center" vertical="center" wrapText="1"/>
    </xf>
    <xf numFmtId="0" fontId="7" fillId="24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>
      <alignment horizontal="center" vertical="center" wrapText="1"/>
    </xf>
    <xf numFmtId="0" fontId="2" fillId="26" borderId="7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wrapText="1"/>
      <protection locked="0"/>
    </xf>
    <xf numFmtId="2" fontId="2" fillId="0" borderId="7" xfId="0" applyNumberFormat="1" applyFont="1" applyFill="1" applyBorder="1" applyAlignment="1" applyProtection="1">
      <alignment horizontal="center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3" fillId="27" borderId="7" xfId="0" applyNumberFormat="1" applyFont="1" applyFill="1" applyBorder="1" applyAlignment="1">
      <alignment horizontal="center"/>
    </xf>
    <xf numFmtId="165" fontId="21" fillId="2" borderId="7" xfId="0" applyNumberFormat="1" applyFont="1" applyFill="1" applyBorder="1" applyAlignment="1" applyProtection="1">
      <alignment horizontal="center" wrapText="1"/>
      <protection locked="0"/>
    </xf>
    <xf numFmtId="164" fontId="21" fillId="2" borderId="7" xfId="0" applyNumberFormat="1" applyFont="1" applyFill="1" applyBorder="1" applyAlignment="1" applyProtection="1">
      <alignment horizontal="center" wrapText="1"/>
      <protection locked="0"/>
    </xf>
    <xf numFmtId="164" fontId="21" fillId="0" borderId="7" xfId="0" applyNumberFormat="1" applyFont="1" applyBorder="1" applyAlignment="1" applyProtection="1">
      <alignment horizontal="center" wrapText="1"/>
      <protection locked="0"/>
    </xf>
    <xf numFmtId="164" fontId="21" fillId="2" borderId="7" xfId="0" applyNumberFormat="1" applyFont="1" applyFill="1" applyBorder="1" applyAlignment="1" applyProtection="1">
      <alignment horizontal="right" wrapText="1"/>
      <protection locked="0"/>
    </xf>
    <xf numFmtId="164" fontId="21" fillId="20" borderId="7" xfId="0" applyNumberFormat="1" applyFont="1" applyFill="1" applyBorder="1" applyAlignment="1" applyProtection="1">
      <alignment horizontal="center" wrapText="1"/>
      <protection locked="0"/>
    </xf>
    <xf numFmtId="164" fontId="21" fillId="2" borderId="7" xfId="0" applyNumberFormat="1" applyFont="1" applyFill="1" applyBorder="1" applyAlignment="1">
      <alignment horizontal="center"/>
    </xf>
    <xf numFmtId="0" fontId="21" fillId="2" borderId="7" xfId="0" applyFont="1" applyFill="1" applyBorder="1"/>
    <xf numFmtId="1" fontId="21" fillId="2" borderId="7" xfId="0" applyNumberFormat="1" applyFont="1" applyFill="1" applyBorder="1" applyAlignment="1">
      <alignment horizontal="center"/>
    </xf>
    <xf numFmtId="164" fontId="21" fillId="2" borderId="7" xfId="0" applyNumberFormat="1" applyFont="1" applyFill="1" applyBorder="1"/>
    <xf numFmtId="164" fontId="21" fillId="0" borderId="7" xfId="0" applyNumberFormat="1" applyFont="1" applyFill="1" applyBorder="1" applyAlignment="1">
      <alignment horizontal="center"/>
    </xf>
    <xf numFmtId="1" fontId="21" fillId="0" borderId="7" xfId="0" applyNumberFormat="1" applyFont="1" applyFill="1" applyBorder="1" applyAlignment="1" applyProtection="1">
      <alignment horizontal="center" wrapText="1"/>
      <protection locked="0"/>
    </xf>
    <xf numFmtId="2" fontId="21" fillId="0" borderId="7" xfId="0" applyNumberFormat="1" applyFont="1" applyFill="1" applyBorder="1" applyAlignment="1" applyProtection="1">
      <alignment horizontal="center" wrapText="1"/>
      <protection locked="0"/>
    </xf>
    <xf numFmtId="1" fontId="22" fillId="0" borderId="7" xfId="0" applyNumberFormat="1" applyFont="1" applyFill="1" applyBorder="1" applyAlignment="1" applyProtection="1">
      <alignment horizontal="center" wrapText="1"/>
      <protection locked="0"/>
    </xf>
    <xf numFmtId="2" fontId="21" fillId="0" borderId="7" xfId="0" applyNumberFormat="1" applyFont="1" applyFill="1" applyBorder="1" applyAlignment="1">
      <alignment horizontal="center"/>
    </xf>
    <xf numFmtId="165" fontId="21" fillId="0" borderId="7" xfId="0" applyNumberFormat="1" applyFont="1" applyBorder="1" applyAlignment="1" applyProtection="1">
      <alignment horizontal="center" wrapText="1"/>
      <protection locked="0"/>
    </xf>
    <xf numFmtId="164" fontId="21" fillId="0" borderId="7" xfId="0" applyNumberFormat="1" applyFont="1" applyBorder="1" applyAlignment="1">
      <alignment horizontal="center"/>
    </xf>
    <xf numFmtId="164" fontId="21" fillId="0" borderId="7" xfId="0" applyNumberFormat="1" applyFont="1" applyBorder="1"/>
    <xf numFmtId="0" fontId="21" fillId="0" borderId="7" xfId="0" applyFont="1" applyBorder="1"/>
    <xf numFmtId="165" fontId="21" fillId="0" borderId="0" xfId="0" applyNumberFormat="1" applyFont="1"/>
    <xf numFmtId="165" fontId="21" fillId="0" borderId="7" xfId="0" applyNumberFormat="1" applyFont="1" applyBorder="1"/>
    <xf numFmtId="1" fontId="22" fillId="2" borderId="7" xfId="0" applyNumberFormat="1" applyFont="1" applyFill="1" applyBorder="1" applyAlignment="1" applyProtection="1">
      <alignment horizontal="center"/>
      <protection locked="0"/>
    </xf>
    <xf numFmtId="165" fontId="22" fillId="2" borderId="7" xfId="0" applyNumberFormat="1" applyFont="1" applyFill="1" applyBorder="1" applyAlignment="1" applyProtection="1">
      <alignment horizontal="center"/>
      <protection locked="0"/>
    </xf>
    <xf numFmtId="4" fontId="22" fillId="2" borderId="7" xfId="0" applyNumberFormat="1" applyFont="1" applyFill="1" applyBorder="1" applyAlignment="1" applyProtection="1">
      <alignment horizontal="center"/>
      <protection locked="0"/>
    </xf>
    <xf numFmtId="164" fontId="22" fillId="2" borderId="7" xfId="0" applyNumberFormat="1" applyFont="1" applyFill="1" applyBorder="1" applyAlignment="1" applyProtection="1">
      <alignment horizontal="center"/>
      <protection locked="0"/>
    </xf>
    <xf numFmtId="0" fontId="22" fillId="27" borderId="7" xfId="0" applyFont="1" applyFill="1" applyBorder="1" applyAlignment="1">
      <alignment horizontal="center"/>
    </xf>
    <xf numFmtId="0" fontId="21" fillId="27" borderId="7" xfId="0" applyFont="1" applyFill="1" applyBorder="1"/>
    <xf numFmtId="2" fontId="21" fillId="27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2" borderId="7" xfId="0" applyNumberFormat="1" applyFont="1" applyFill="1" applyBorder="1" applyAlignment="1">
      <alignment horizontal="center" wrapText="1"/>
    </xf>
    <xf numFmtId="3" fontId="3" fillId="2" borderId="7" xfId="0" applyNumberFormat="1" applyFont="1" applyFill="1" applyBorder="1" applyAlignment="1" applyProtection="1">
      <alignment horizontal="center"/>
      <protection locked="0"/>
    </xf>
    <xf numFmtId="165" fontId="7" fillId="0" borderId="7" xfId="2" applyNumberFormat="1" applyFont="1" applyBorder="1" applyAlignment="1">
      <alignment horizontal="center"/>
    </xf>
    <xf numFmtId="1" fontId="2" fillId="0" borderId="7" xfId="0" applyNumberFormat="1" applyFont="1" applyBorder="1" applyAlignment="1" applyProtection="1">
      <alignment horizontal="center" wrapText="1"/>
      <protection locked="0"/>
    </xf>
    <xf numFmtId="2" fontId="2" fillId="0" borderId="7" xfId="0" applyNumberFormat="1" applyFont="1" applyBorder="1" applyAlignment="1" applyProtection="1">
      <alignment horizontal="center" wrapText="1"/>
      <protection locked="0"/>
    </xf>
    <xf numFmtId="2" fontId="21" fillId="20" borderId="7" xfId="0" applyNumberFormat="1" applyFont="1" applyFill="1" applyBorder="1" applyAlignment="1" applyProtection="1">
      <alignment horizontal="center" wrapText="1"/>
      <protection locked="0"/>
    </xf>
    <xf numFmtId="3" fontId="21" fillId="0" borderId="7" xfId="0" applyNumberFormat="1" applyFont="1" applyBorder="1" applyAlignment="1" applyProtection="1">
      <alignment horizontal="center" wrapText="1"/>
      <protection locked="0"/>
    </xf>
    <xf numFmtId="3" fontId="22" fillId="2" borderId="7" xfId="0" applyNumberFormat="1" applyFont="1" applyFill="1" applyBorder="1" applyAlignment="1" applyProtection="1">
      <alignment horizontal="center"/>
      <protection locked="0"/>
    </xf>
    <xf numFmtId="3" fontId="2" fillId="20" borderId="7" xfId="0" applyNumberFormat="1" applyFont="1" applyFill="1" applyBorder="1" applyAlignment="1" applyProtection="1">
      <alignment horizontal="center" wrapText="1"/>
      <protection locked="0"/>
    </xf>
    <xf numFmtId="3" fontId="2" fillId="2" borderId="7" xfId="0" applyNumberFormat="1" applyFont="1" applyFill="1" applyBorder="1" applyAlignment="1" applyProtection="1">
      <alignment horizontal="center" wrapText="1"/>
      <protection locked="0"/>
    </xf>
    <xf numFmtId="165" fontId="21" fillId="20" borderId="7" xfId="0" applyNumberFormat="1" applyFont="1" applyFill="1" applyBorder="1" applyAlignment="1" applyProtection="1">
      <alignment horizontal="right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2" fontId="3" fillId="2" borderId="7" xfId="0" applyNumberFormat="1" applyFont="1" applyFill="1" applyBorder="1" applyAlignment="1" applyProtection="1">
      <alignment horizontal="center" wrapText="1"/>
      <protection locked="0"/>
    </xf>
    <xf numFmtId="2" fontId="2" fillId="20" borderId="7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left" wrapText="1"/>
    </xf>
    <xf numFmtId="3" fontId="2" fillId="0" borderId="7" xfId="0" applyNumberFormat="1" applyFont="1" applyFill="1" applyBorder="1" applyAlignment="1">
      <alignment horizontal="center" wrapText="1"/>
    </xf>
    <xf numFmtId="165" fontId="2" fillId="0" borderId="7" xfId="0" applyNumberFormat="1" applyFont="1" applyFill="1" applyBorder="1" applyAlignment="1" applyProtection="1">
      <alignment horizontal="center" wrapText="1"/>
      <protection locked="0"/>
    </xf>
    <xf numFmtId="164" fontId="2" fillId="0" borderId="7" xfId="0" applyNumberFormat="1" applyFont="1" applyFill="1" applyBorder="1" applyAlignment="1" applyProtection="1">
      <alignment horizontal="center" wrapText="1"/>
      <protection locked="0"/>
    </xf>
    <xf numFmtId="164" fontId="21" fillId="0" borderId="7" xfId="0" applyNumberFormat="1" applyFont="1" applyFill="1" applyBorder="1" applyAlignment="1" applyProtection="1">
      <alignment horizontal="center" wrapText="1"/>
      <protection locked="0"/>
    </xf>
    <xf numFmtId="164" fontId="2" fillId="0" borderId="7" xfId="0" applyNumberFormat="1" applyFont="1" applyFill="1" applyBorder="1" applyAlignment="1">
      <alignment horizontal="center"/>
    </xf>
    <xf numFmtId="165" fontId="21" fillId="0" borderId="7" xfId="0" applyNumberFormat="1" applyFont="1" applyFill="1" applyBorder="1" applyAlignment="1" applyProtection="1">
      <alignment horizontal="center" wrapText="1"/>
      <protection locked="0"/>
    </xf>
    <xf numFmtId="165" fontId="7" fillId="0" borderId="7" xfId="2" applyNumberFormat="1" applyFont="1" applyFill="1" applyBorder="1" applyAlignment="1">
      <alignment horizontal="center"/>
    </xf>
    <xf numFmtId="165" fontId="21" fillId="0" borderId="7" xfId="0" applyNumberFormat="1" applyFont="1" applyFill="1" applyBorder="1"/>
    <xf numFmtId="3" fontId="21" fillId="0" borderId="7" xfId="0" applyNumberFormat="1" applyFont="1" applyFill="1" applyBorder="1" applyAlignment="1" applyProtection="1">
      <alignment horizontal="center" wrapText="1"/>
      <protection locked="0"/>
    </xf>
    <xf numFmtId="3" fontId="2" fillId="0" borderId="7" xfId="0" applyNumberFormat="1" applyFont="1" applyFill="1" applyBorder="1" applyAlignment="1" applyProtection="1">
      <alignment horizontal="center" wrapText="1"/>
      <protection locked="0"/>
    </xf>
    <xf numFmtId="164" fontId="21" fillId="0" borderId="7" xfId="0" applyNumberFormat="1" applyFont="1" applyFill="1" applyBorder="1" applyAlignment="1" applyProtection="1">
      <alignment horizontal="right" wrapText="1"/>
      <protection locked="0"/>
    </xf>
    <xf numFmtId="164" fontId="21" fillId="0" borderId="7" xfId="0" applyNumberFormat="1" applyFont="1" applyFill="1" applyBorder="1"/>
    <xf numFmtId="0" fontId="21" fillId="0" borderId="7" xfId="0" applyFont="1" applyFill="1" applyBorder="1"/>
    <xf numFmtId="3" fontId="2" fillId="0" borderId="7" xfId="0" applyNumberFormat="1" applyFont="1" applyBorder="1" applyAlignment="1" applyProtection="1">
      <alignment horizontal="center" wrapText="1"/>
      <protection locked="0"/>
    </xf>
    <xf numFmtId="0" fontId="12" fillId="11" borderId="7" xfId="0" applyFont="1" applyFill="1" applyBorder="1" applyAlignment="1">
      <alignment horizontal="center" vertical="center" wrapText="1"/>
    </xf>
    <xf numFmtId="166" fontId="3" fillId="2" borderId="7" xfId="0" applyNumberFormat="1" applyFont="1" applyFill="1" applyBorder="1" applyAlignment="1" applyProtection="1">
      <alignment horizontal="center"/>
      <protection locked="0"/>
    </xf>
    <xf numFmtId="166" fontId="2" fillId="2" borderId="7" xfId="0" applyNumberFormat="1" applyFont="1" applyFill="1" applyBorder="1" applyAlignment="1" applyProtection="1">
      <alignment horizontal="center" wrapText="1"/>
      <protection locked="0"/>
    </xf>
    <xf numFmtId="166" fontId="2" fillId="0" borderId="7" xfId="0" applyNumberFormat="1" applyFont="1" applyFill="1" applyBorder="1" applyAlignment="1" applyProtection="1">
      <alignment horizontal="center" wrapText="1"/>
      <protection locked="0"/>
    </xf>
    <xf numFmtId="166" fontId="2" fillId="0" borderId="7" xfId="0" applyNumberFormat="1" applyFont="1" applyBorder="1" applyAlignment="1" applyProtection="1">
      <alignment horizontal="center" wrapText="1"/>
      <protection locked="0"/>
    </xf>
    <xf numFmtId="1" fontId="2" fillId="0" borderId="7" xfId="0" applyNumberFormat="1" applyFont="1" applyFill="1" applyBorder="1"/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 applyProtection="1">
      <alignment horizontal="center" wrapText="1"/>
      <protection locked="0"/>
    </xf>
    <xf numFmtId="3" fontId="2" fillId="2" borderId="7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 applyProtection="1">
      <alignment horizontal="center"/>
    </xf>
    <xf numFmtId="3" fontId="2" fillId="0" borderId="7" xfId="0" applyNumberFormat="1" applyFont="1" applyFill="1" applyBorder="1" applyAlignment="1" applyProtection="1">
      <alignment horizontal="center"/>
    </xf>
    <xf numFmtId="3" fontId="2" fillId="0" borderId="7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3" fontId="21" fillId="2" borderId="7" xfId="0" applyNumberFormat="1" applyFont="1" applyFill="1" applyBorder="1" applyAlignment="1" applyProtection="1">
      <alignment horizontal="center" wrapText="1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165" fontId="21" fillId="20" borderId="7" xfId="0" applyNumberFormat="1" applyFont="1" applyFill="1" applyBorder="1" applyAlignment="1" applyProtection="1">
      <alignment horizontal="center" wrapText="1"/>
      <protection locked="0"/>
    </xf>
    <xf numFmtId="165" fontId="2" fillId="2" borderId="7" xfId="1" applyNumberFormat="1" applyFont="1" applyFill="1" applyBorder="1" applyAlignment="1">
      <alignment horizontal="center" wrapText="1"/>
    </xf>
    <xf numFmtId="0" fontId="2" fillId="28" borderId="7" xfId="0" applyFont="1" applyFill="1" applyBorder="1" applyAlignment="1">
      <alignment horizontal="center" vertical="center" wrapText="1"/>
    </xf>
    <xf numFmtId="0" fontId="2" fillId="29" borderId="7" xfId="0" applyFont="1" applyFill="1" applyBorder="1" applyAlignment="1">
      <alignment horizontal="center" vertical="center" wrapText="1"/>
    </xf>
    <xf numFmtId="168" fontId="7" fillId="0" borderId="7" xfId="0" applyNumberFormat="1" applyFont="1" applyFill="1" applyBorder="1" applyAlignment="1">
      <alignment vertical="center"/>
    </xf>
    <xf numFmtId="165" fontId="2" fillId="0" borderId="7" xfId="1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/>
    <xf numFmtId="164" fontId="3" fillId="0" borderId="7" xfId="0" applyNumberFormat="1" applyFont="1" applyFill="1" applyBorder="1" applyAlignment="1" applyProtection="1">
      <alignment horizontal="center" wrapText="1"/>
      <protection locked="0"/>
    </xf>
    <xf numFmtId="164" fontId="17" fillId="4" borderId="7" xfId="0" applyNumberFormat="1" applyFont="1" applyFill="1" applyBorder="1" applyAlignment="1" applyProtection="1">
      <alignment horizontal="center" wrapText="1"/>
      <protection locked="0"/>
    </xf>
    <xf numFmtId="164" fontId="17" fillId="4" borderId="7" xfId="0" applyNumberFormat="1" applyFont="1" applyFill="1" applyBorder="1" applyAlignment="1" applyProtection="1">
      <alignment horizontal="center"/>
      <protection locked="0"/>
    </xf>
    <xf numFmtId="165" fontId="17" fillId="4" borderId="7" xfId="0" applyNumberFormat="1" applyFont="1" applyFill="1" applyBorder="1" applyAlignment="1" applyProtection="1">
      <alignment horizontal="right"/>
      <protection locked="0"/>
    </xf>
    <xf numFmtId="165" fontId="17" fillId="4" borderId="7" xfId="0" applyNumberFormat="1" applyFont="1" applyFill="1" applyBorder="1" applyAlignment="1" applyProtection="1">
      <alignment horizontal="center"/>
      <protection locked="0"/>
    </xf>
    <xf numFmtId="3" fontId="23" fillId="20" borderId="7" xfId="0" applyNumberFormat="1" applyFont="1" applyFill="1" applyBorder="1" applyAlignment="1" applyProtection="1">
      <alignment horizontal="center" wrapText="1"/>
      <protection locked="0"/>
    </xf>
    <xf numFmtId="3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 wrapText="1"/>
      <protection locked="0"/>
    </xf>
    <xf numFmtId="0" fontId="23" fillId="20" borderId="7" xfId="0" applyFont="1" applyFill="1" applyBorder="1" applyAlignment="1" applyProtection="1">
      <alignment horizontal="center" wrapText="1"/>
      <protection locked="0"/>
    </xf>
    <xf numFmtId="3" fontId="3" fillId="0" borderId="7" xfId="0" applyNumberFormat="1" applyFont="1" applyBorder="1" applyAlignment="1" applyProtection="1">
      <alignment horizontal="center" wrapText="1"/>
      <protection locked="0"/>
    </xf>
    <xf numFmtId="165" fontId="3" fillId="0" borderId="7" xfId="0" applyNumberFormat="1" applyFont="1" applyFill="1" applyBorder="1" applyAlignment="1" applyProtection="1">
      <alignment horizontal="center" wrapText="1"/>
      <protection locked="0"/>
    </xf>
    <xf numFmtId="165" fontId="3" fillId="2" borderId="7" xfId="0" applyNumberFormat="1" applyFont="1" applyFill="1" applyBorder="1" applyAlignment="1" applyProtection="1">
      <alignment horizontal="center" wrapText="1"/>
      <protection locked="0"/>
    </xf>
    <xf numFmtId="165" fontId="23" fillId="20" borderId="7" xfId="0" applyNumberFormat="1" applyFont="1" applyFill="1" applyBorder="1" applyAlignment="1" applyProtection="1">
      <alignment horizontal="center" wrapText="1"/>
      <protection locked="0"/>
    </xf>
    <xf numFmtId="167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3" fontId="24" fillId="2" borderId="7" xfId="0" applyNumberFormat="1" applyFont="1" applyFill="1" applyBorder="1" applyAlignment="1" applyProtection="1">
      <alignment horizontal="center"/>
      <protection locked="0"/>
    </xf>
    <xf numFmtId="3" fontId="13" fillId="0" borderId="7" xfId="0" applyNumberFormat="1" applyFont="1" applyBorder="1" applyAlignment="1" applyProtection="1">
      <alignment horizontal="center" wrapText="1"/>
      <protection locked="0"/>
    </xf>
    <xf numFmtId="3" fontId="13" fillId="0" borderId="7" xfId="0" applyNumberFormat="1" applyFont="1" applyFill="1" applyBorder="1" applyAlignment="1" applyProtection="1">
      <alignment horizontal="center" wrapText="1"/>
      <protection locked="0"/>
    </xf>
    <xf numFmtId="3" fontId="13" fillId="20" borderId="7" xfId="0" applyNumberFormat="1" applyFont="1" applyFill="1" applyBorder="1" applyAlignment="1" applyProtection="1">
      <alignment horizontal="center" wrapText="1"/>
      <protection locked="0"/>
    </xf>
    <xf numFmtId="164" fontId="13" fillId="20" borderId="7" xfId="0" applyNumberFormat="1" applyFont="1" applyFill="1" applyBorder="1" applyAlignment="1" applyProtection="1">
      <alignment horizontal="center" wrapText="1"/>
      <protection locked="0"/>
    </xf>
    <xf numFmtId="169" fontId="2" fillId="20" borderId="7" xfId="0" applyNumberFormat="1" applyFont="1" applyFill="1" applyBorder="1" applyAlignment="1" applyProtection="1">
      <alignment horizontal="center" wrapText="1"/>
      <protection locked="0"/>
    </xf>
    <xf numFmtId="164" fontId="24" fillId="0" borderId="7" xfId="0" applyNumberFormat="1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13" fillId="2" borderId="7" xfId="0" applyFont="1" applyFill="1" applyBorder="1" applyAlignment="1">
      <alignment horizontal="center"/>
    </xf>
    <xf numFmtId="165" fontId="2" fillId="0" borderId="4" xfId="0" applyNumberFormat="1" applyFont="1" applyBorder="1" applyAlignment="1" applyProtection="1">
      <alignment horizontal="center" wrapText="1"/>
      <protection locked="0"/>
    </xf>
    <xf numFmtId="165" fontId="2" fillId="0" borderId="4" xfId="0" applyNumberFormat="1" applyFont="1" applyFill="1" applyBorder="1" applyAlignment="1" applyProtection="1">
      <alignment horizontal="center" wrapText="1"/>
      <protection locked="0"/>
    </xf>
    <xf numFmtId="165" fontId="2" fillId="2" borderId="1" xfId="0" applyNumberFormat="1" applyFont="1" applyFill="1" applyBorder="1" applyAlignment="1" applyProtection="1">
      <alignment horizontal="center" wrapText="1"/>
      <protection locked="0"/>
    </xf>
    <xf numFmtId="165" fontId="24" fillId="0" borderId="7" xfId="0" applyNumberFormat="1" applyFont="1" applyFill="1" applyBorder="1" applyAlignment="1" applyProtection="1">
      <alignment horizontal="center"/>
      <protection locked="0"/>
    </xf>
    <xf numFmtId="0" fontId="13" fillId="0" borderId="7" xfId="0" applyFont="1" applyBorder="1"/>
    <xf numFmtId="0" fontId="9" fillId="7" borderId="3" xfId="0" applyFont="1" applyFill="1" applyBorder="1" applyAlignment="1">
      <alignment horizontal="center" vertical="center" wrapText="1"/>
    </xf>
    <xf numFmtId="165" fontId="2" fillId="0" borderId="7" xfId="1" quotePrefix="1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wrapText="1"/>
      <protection locked="0"/>
    </xf>
    <xf numFmtId="164" fontId="2" fillId="0" borderId="11" xfId="0" applyNumberFormat="1" applyFont="1" applyBorder="1" applyAlignment="1" applyProtection="1">
      <alignment horizontal="center" wrapText="1"/>
      <protection locked="0"/>
    </xf>
    <xf numFmtId="165" fontId="3" fillId="2" borderId="1" xfId="1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64" fontId="2" fillId="2" borderId="0" xfId="0" applyNumberFormat="1" applyFont="1" applyFill="1" applyBorder="1" applyAlignment="1" applyProtection="1">
      <alignment horizontal="center" wrapText="1"/>
      <protection locked="0"/>
    </xf>
    <xf numFmtId="0" fontId="20" fillId="2" borderId="1" xfId="0" applyFont="1" applyFill="1" applyBorder="1" applyAlignment="1">
      <alignment wrapText="1"/>
    </xf>
    <xf numFmtId="2" fontId="25" fillId="2" borderId="1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 applyProtection="1">
      <alignment horizontal="center" wrapText="1"/>
      <protection locked="0"/>
    </xf>
    <xf numFmtId="4" fontId="2" fillId="2" borderId="7" xfId="1" applyNumberFormat="1" applyFont="1" applyFill="1" applyBorder="1" applyAlignment="1">
      <alignment horizontal="center" wrapText="1"/>
    </xf>
    <xf numFmtId="4" fontId="3" fillId="2" borderId="7" xfId="0" applyNumberFormat="1" applyFont="1" applyFill="1" applyBorder="1" applyAlignment="1" applyProtection="1">
      <alignment horizontal="center" wrapText="1"/>
      <protection locked="0"/>
    </xf>
    <xf numFmtId="4" fontId="3" fillId="2" borderId="7" xfId="1" applyNumberFormat="1" applyFont="1" applyFill="1" applyBorder="1" applyAlignment="1">
      <alignment horizontal="center" wrapText="1"/>
    </xf>
    <xf numFmtId="2" fontId="2" fillId="2" borderId="7" xfId="1" applyNumberFormat="1" applyFont="1" applyFill="1" applyBorder="1" applyAlignment="1">
      <alignment horizontal="center" wrapText="1"/>
    </xf>
    <xf numFmtId="2" fontId="2" fillId="3" borderId="7" xfId="0" applyNumberFormat="1" applyFont="1" applyFill="1" applyBorder="1" applyAlignment="1" applyProtection="1">
      <alignment horizontal="center" wrapText="1"/>
      <protection locked="0"/>
    </xf>
    <xf numFmtId="2" fontId="2" fillId="0" borderId="7" xfId="1" applyNumberFormat="1" applyFont="1" applyBorder="1" applyAlignment="1">
      <alignment horizontal="center" wrapText="1"/>
    </xf>
    <xf numFmtId="2" fontId="2" fillId="0" borderId="7" xfId="1" applyNumberFormat="1" applyFont="1" applyFill="1" applyBorder="1" applyAlignment="1">
      <alignment horizontal="center" wrapText="1"/>
    </xf>
    <xf numFmtId="4" fontId="2" fillId="3" borderId="7" xfId="0" applyNumberFormat="1" applyFont="1" applyFill="1" applyBorder="1" applyAlignment="1" applyProtection="1">
      <alignment horizontal="center" wrapText="1"/>
      <protection locked="0"/>
    </xf>
    <xf numFmtId="4" fontId="2" fillId="0" borderId="7" xfId="1" applyNumberFormat="1" applyFont="1" applyBorder="1" applyAlignment="1">
      <alignment horizontal="center" wrapText="1"/>
    </xf>
    <xf numFmtId="4" fontId="2" fillId="0" borderId="7" xfId="0" applyNumberFormat="1" applyFont="1" applyFill="1" applyBorder="1" applyAlignment="1" applyProtection="1">
      <alignment horizontal="center" wrapText="1"/>
      <protection locked="0"/>
    </xf>
    <xf numFmtId="4" fontId="2" fillId="0" borderId="7" xfId="1" applyNumberFormat="1" applyFont="1" applyFill="1" applyBorder="1" applyAlignment="1">
      <alignment horizontal="center" wrapText="1"/>
    </xf>
    <xf numFmtId="4" fontId="3" fillId="2" borderId="7" xfId="0" applyNumberFormat="1" applyFont="1" applyFill="1" applyBorder="1" applyAlignment="1" applyProtection="1">
      <alignment horizontal="center"/>
      <protection locked="0"/>
    </xf>
    <xf numFmtId="4" fontId="7" fillId="0" borderId="7" xfId="1" applyNumberFormat="1" applyFont="1" applyBorder="1" applyAlignment="1">
      <alignment horizontal="center" wrapText="1"/>
    </xf>
    <xf numFmtId="165" fontId="2" fillId="2" borderId="4" xfId="1" applyNumberFormat="1" applyFont="1" applyFill="1" applyBorder="1" applyAlignment="1">
      <alignment horizontal="center" wrapText="1"/>
    </xf>
    <xf numFmtId="165" fontId="2" fillId="0" borderId="5" xfId="0" applyNumberFormat="1" applyFont="1" applyBorder="1" applyAlignment="1" applyProtection="1">
      <alignment horizontal="center" wrapText="1"/>
      <protection locked="0"/>
    </xf>
    <xf numFmtId="165" fontId="2" fillId="0" borderId="5" xfId="0" applyNumberFormat="1" applyFont="1" applyFill="1" applyBorder="1" applyAlignment="1" applyProtection="1">
      <alignment horizontal="center" wrapText="1"/>
      <protection locked="0"/>
    </xf>
    <xf numFmtId="165" fontId="2" fillId="2" borderId="6" xfId="1" applyNumberFormat="1" applyFont="1" applyFill="1" applyBorder="1" applyAlignment="1">
      <alignment horizontal="center" wrapText="1"/>
    </xf>
    <xf numFmtId="165" fontId="3" fillId="2" borderId="7" xfId="1" applyNumberFormat="1" applyFont="1" applyFill="1" applyBorder="1" applyAlignment="1">
      <alignment horizontal="center" wrapText="1"/>
    </xf>
    <xf numFmtId="167" fontId="17" fillId="0" borderId="7" xfId="0" applyNumberFormat="1" applyFont="1" applyFill="1" applyBorder="1" applyAlignment="1" applyProtection="1">
      <alignment horizontal="center"/>
      <protection locked="0"/>
    </xf>
    <xf numFmtId="164" fontId="15" fillId="0" borderId="7" xfId="0" applyNumberFormat="1" applyFont="1" applyBorder="1" applyAlignment="1" applyProtection="1">
      <alignment horizontal="center" wrapText="1"/>
      <protection locked="0"/>
    </xf>
    <xf numFmtId="164" fontId="15" fillId="0" borderId="7" xfId="0" applyNumberFormat="1" applyFont="1" applyFill="1" applyBorder="1" applyAlignment="1" applyProtection="1">
      <alignment horizontal="center" wrapText="1"/>
      <protection locked="0"/>
    </xf>
    <xf numFmtId="164" fontId="17" fillId="0" borderId="7" xfId="0" applyNumberFormat="1" applyFont="1" applyFill="1" applyBorder="1" applyAlignment="1" applyProtection="1">
      <alignment horizontal="center"/>
      <protection locked="0"/>
    </xf>
    <xf numFmtId="164" fontId="17" fillId="0" borderId="7" xfId="0" applyNumberFormat="1" applyFont="1" applyFill="1" applyBorder="1" applyAlignment="1">
      <alignment horizontal="center"/>
    </xf>
    <xf numFmtId="165" fontId="3" fillId="20" borderId="7" xfId="0" applyNumberFormat="1" applyFont="1" applyFill="1" applyBorder="1" applyAlignment="1" applyProtection="1">
      <alignment horizontal="center" wrapText="1"/>
      <protection locked="0"/>
    </xf>
    <xf numFmtId="165" fontId="2" fillId="2" borderId="4" xfId="0" applyNumberFormat="1" applyFont="1" applyFill="1" applyBorder="1" applyAlignment="1" applyProtection="1">
      <alignment horizontal="center" wrapText="1"/>
      <protection locked="0"/>
    </xf>
    <xf numFmtId="0" fontId="13" fillId="2" borderId="7" xfId="0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wrapText="1"/>
      <protection locked="0"/>
    </xf>
    <xf numFmtId="165" fontId="7" fillId="2" borderId="7" xfId="2" applyNumberFormat="1" applyFont="1" applyFill="1" applyBorder="1" applyAlignment="1">
      <alignment horizontal="center"/>
    </xf>
    <xf numFmtId="165" fontId="21" fillId="2" borderId="7" xfId="0" applyNumberFormat="1" applyFont="1" applyFill="1" applyBorder="1" applyAlignment="1">
      <alignment horizontal="right"/>
    </xf>
    <xf numFmtId="3" fontId="13" fillId="2" borderId="7" xfId="0" applyNumberFormat="1" applyFont="1" applyFill="1" applyBorder="1" applyAlignment="1" applyProtection="1">
      <alignment horizontal="center" wrapText="1"/>
      <protection locked="0"/>
    </xf>
    <xf numFmtId="164" fontId="13" fillId="2" borderId="7" xfId="0" applyNumberFormat="1" applyFont="1" applyFill="1" applyBorder="1" applyAlignment="1" applyProtection="1">
      <alignment horizontal="center" wrapText="1"/>
      <protection locked="0"/>
    </xf>
    <xf numFmtId="167" fontId="2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 applyProtection="1">
      <alignment horizontal="center"/>
    </xf>
    <xf numFmtId="168" fontId="7" fillId="2" borderId="7" xfId="0" applyNumberFormat="1" applyFont="1" applyFill="1" applyBorder="1" applyAlignment="1">
      <alignment vertical="center"/>
    </xf>
    <xf numFmtId="1" fontId="21" fillId="2" borderId="7" xfId="0" applyNumberFormat="1" applyFont="1" applyFill="1" applyBorder="1" applyAlignment="1" applyProtection="1">
      <alignment horizontal="center" wrapText="1"/>
      <protection locked="0"/>
    </xf>
    <xf numFmtId="2" fontId="21" fillId="2" borderId="7" xfId="0" applyNumberFormat="1" applyFont="1" applyFill="1" applyBorder="1" applyAlignment="1" applyProtection="1">
      <alignment horizontal="center" wrapText="1"/>
      <protection locked="0"/>
    </xf>
    <xf numFmtId="1" fontId="22" fillId="2" borderId="7" xfId="0" applyNumberFormat="1" applyFont="1" applyFill="1" applyBorder="1" applyAlignment="1" applyProtection="1">
      <alignment horizontal="center" wrapText="1"/>
      <protection locked="0"/>
    </xf>
    <xf numFmtId="2" fontId="21" fillId="2" borderId="7" xfId="0" applyNumberFormat="1" applyFont="1" applyFill="1" applyBorder="1" applyAlignment="1">
      <alignment horizontal="center"/>
    </xf>
    <xf numFmtId="0" fontId="2" fillId="12" borderId="7" xfId="0" applyFont="1" applyFill="1" applyBorder="1" applyAlignment="1">
      <alignment horizontal="left" wrapText="1"/>
    </xf>
    <xf numFmtId="3" fontId="2" fillId="12" borderId="7" xfId="0" applyNumberFormat="1" applyFont="1" applyFill="1" applyBorder="1" applyAlignment="1">
      <alignment horizontal="center" wrapText="1"/>
    </xf>
    <xf numFmtId="165" fontId="2" fillId="12" borderId="7" xfId="0" applyNumberFormat="1" applyFont="1" applyFill="1" applyBorder="1" applyAlignment="1" applyProtection="1">
      <alignment horizontal="center" wrapText="1"/>
      <protection locked="0"/>
    </xf>
    <xf numFmtId="164" fontId="2" fillId="12" borderId="7" xfId="0" applyNumberFormat="1" applyFont="1" applyFill="1" applyBorder="1" applyAlignment="1" applyProtection="1">
      <alignment horizontal="center" wrapText="1"/>
      <protection locked="0"/>
    </xf>
    <xf numFmtId="1" fontId="2" fillId="12" borderId="7" xfId="0" applyNumberFormat="1" applyFont="1" applyFill="1" applyBorder="1" applyAlignment="1" applyProtection="1">
      <alignment horizontal="center" wrapText="1"/>
      <protection locked="0"/>
    </xf>
    <xf numFmtId="165" fontId="2" fillId="12" borderId="7" xfId="1" applyNumberFormat="1" applyFont="1" applyFill="1" applyBorder="1" applyAlignment="1">
      <alignment horizontal="center" wrapText="1"/>
    </xf>
    <xf numFmtId="165" fontId="2" fillId="12" borderId="4" xfId="0" applyNumberFormat="1" applyFont="1" applyFill="1" applyBorder="1" applyAlignment="1" applyProtection="1">
      <alignment horizontal="center" wrapText="1"/>
      <protection locked="0"/>
    </xf>
    <xf numFmtId="165" fontId="2" fillId="12" borderId="5" xfId="0" applyNumberFormat="1" applyFont="1" applyFill="1" applyBorder="1" applyAlignment="1" applyProtection="1">
      <alignment horizontal="center" wrapText="1"/>
      <protection locked="0"/>
    </xf>
    <xf numFmtId="165" fontId="2" fillId="12" borderId="6" xfId="1" applyNumberFormat="1" applyFont="1" applyFill="1" applyBorder="1" applyAlignment="1">
      <alignment horizontal="center" wrapText="1"/>
    </xf>
    <xf numFmtId="164" fontId="21" fillId="12" borderId="7" xfId="0" applyNumberFormat="1" applyFont="1" applyFill="1" applyBorder="1" applyAlignment="1" applyProtection="1">
      <alignment horizontal="center" wrapText="1"/>
      <protection locked="0"/>
    </xf>
    <xf numFmtId="2" fontId="2" fillId="12" borderId="7" xfId="0" applyNumberFormat="1" applyFont="1" applyFill="1" applyBorder="1" applyAlignment="1" applyProtection="1">
      <alignment horizontal="center" wrapText="1"/>
      <protection locked="0"/>
    </xf>
    <xf numFmtId="165" fontId="21" fillId="12" borderId="7" xfId="0" applyNumberFormat="1" applyFont="1" applyFill="1" applyBorder="1" applyAlignment="1" applyProtection="1">
      <alignment horizontal="center" wrapText="1"/>
      <protection locked="0"/>
    </xf>
    <xf numFmtId="165" fontId="7" fillId="12" borderId="7" xfId="2" applyNumberFormat="1" applyFont="1" applyFill="1" applyBorder="1" applyAlignment="1">
      <alignment horizontal="center"/>
    </xf>
    <xf numFmtId="165" fontId="21" fillId="12" borderId="7" xfId="0" applyNumberFormat="1" applyFont="1" applyFill="1" applyBorder="1"/>
    <xf numFmtId="3" fontId="13" fillId="12" borderId="7" xfId="0" applyNumberFormat="1" applyFont="1" applyFill="1" applyBorder="1" applyAlignment="1" applyProtection="1">
      <alignment horizontal="center" wrapText="1"/>
      <protection locked="0"/>
    </xf>
    <xf numFmtId="3" fontId="2" fillId="12" borderId="7" xfId="0" applyNumberFormat="1" applyFont="1" applyFill="1" applyBorder="1" applyAlignment="1" applyProtection="1">
      <alignment horizontal="center" wrapText="1"/>
      <protection locked="0"/>
    </xf>
    <xf numFmtId="164" fontId="13" fillId="12" borderId="7" xfId="0" applyNumberFormat="1" applyFont="1" applyFill="1" applyBorder="1" applyAlignment="1" applyProtection="1">
      <alignment horizontal="center" wrapText="1"/>
      <protection locked="0"/>
    </xf>
    <xf numFmtId="0" fontId="21" fillId="12" borderId="7" xfId="0" applyFont="1" applyFill="1" applyBorder="1"/>
    <xf numFmtId="167" fontId="2" fillId="12" borderId="7" xfId="0" applyNumberFormat="1" applyFont="1" applyFill="1" applyBorder="1" applyAlignment="1">
      <alignment horizontal="center"/>
    </xf>
    <xf numFmtId="164" fontId="15" fillId="12" borderId="7" xfId="0" applyNumberFormat="1" applyFont="1" applyFill="1" applyBorder="1" applyAlignment="1" applyProtection="1">
      <alignment horizontal="center" wrapText="1"/>
      <protection locked="0"/>
    </xf>
    <xf numFmtId="2" fontId="2" fillId="12" borderId="7" xfId="0" applyNumberFormat="1" applyFont="1" applyFill="1" applyBorder="1" applyAlignment="1">
      <alignment horizontal="center"/>
    </xf>
    <xf numFmtId="4" fontId="2" fillId="12" borderId="7" xfId="0" applyNumberFormat="1" applyFont="1" applyFill="1" applyBorder="1" applyAlignment="1" applyProtection="1">
      <alignment horizontal="center" wrapText="1"/>
      <protection locked="0"/>
    </xf>
    <xf numFmtId="4" fontId="2" fillId="12" borderId="7" xfId="1" applyNumberFormat="1" applyFont="1" applyFill="1" applyBorder="1" applyAlignment="1">
      <alignment horizontal="center" wrapText="1"/>
    </xf>
    <xf numFmtId="2" fontId="2" fillId="12" borderId="7" xfId="1" applyNumberFormat="1" applyFont="1" applyFill="1" applyBorder="1" applyAlignment="1">
      <alignment horizontal="center" wrapText="1"/>
    </xf>
    <xf numFmtId="166" fontId="2" fillId="12" borderId="7" xfId="0" applyNumberFormat="1" applyFont="1" applyFill="1" applyBorder="1" applyAlignment="1" applyProtection="1">
      <alignment horizontal="center" wrapText="1"/>
      <protection locked="0"/>
    </xf>
    <xf numFmtId="3" fontId="21" fillId="12" borderId="7" xfId="0" applyNumberFormat="1" applyFont="1" applyFill="1" applyBorder="1" applyAlignment="1" applyProtection="1">
      <alignment horizontal="center" wrapText="1"/>
      <protection locked="0"/>
    </xf>
    <xf numFmtId="0" fontId="2" fillId="12" borderId="6" xfId="0" applyFont="1" applyFill="1" applyBorder="1" applyAlignment="1" applyProtection="1">
      <alignment horizontal="center" wrapText="1"/>
      <protection locked="0"/>
    </xf>
    <xf numFmtId="164" fontId="21" fillId="12" borderId="7" xfId="0" applyNumberFormat="1" applyFont="1" applyFill="1" applyBorder="1" applyAlignment="1" applyProtection="1">
      <alignment horizontal="right" wrapText="1"/>
      <protection locked="0"/>
    </xf>
    <xf numFmtId="164" fontId="21" fillId="12" borderId="7" xfId="0" applyNumberFormat="1" applyFont="1" applyFill="1" applyBorder="1" applyAlignment="1">
      <alignment horizontal="center"/>
    </xf>
    <xf numFmtId="3" fontId="2" fillId="12" borderId="7" xfId="0" applyNumberFormat="1" applyFont="1" applyFill="1" applyBorder="1" applyAlignment="1" applyProtection="1">
      <alignment horizontal="center"/>
    </xf>
    <xf numFmtId="3" fontId="2" fillId="12" borderId="7" xfId="0" applyNumberFormat="1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164" fontId="2" fillId="12" borderId="7" xfId="0" applyNumberFormat="1" applyFont="1" applyFill="1" applyBorder="1" applyAlignment="1">
      <alignment horizontal="center"/>
    </xf>
    <xf numFmtId="164" fontId="21" fillId="12" borderId="7" xfId="0" applyNumberFormat="1" applyFont="1" applyFill="1" applyBorder="1"/>
    <xf numFmtId="165" fontId="2" fillId="12" borderId="7" xfId="0" applyNumberFormat="1" applyFont="1" applyFill="1" applyBorder="1" applyAlignment="1">
      <alignment horizontal="center"/>
    </xf>
    <xf numFmtId="168" fontId="7" fillId="12" borderId="7" xfId="0" applyNumberFormat="1" applyFont="1" applyFill="1" applyBorder="1" applyAlignment="1">
      <alignment vertical="center"/>
    </xf>
    <xf numFmtId="1" fontId="21" fillId="12" borderId="7" xfId="0" applyNumberFormat="1" applyFont="1" applyFill="1" applyBorder="1" applyAlignment="1" applyProtection="1">
      <alignment horizontal="center" wrapText="1"/>
      <protection locked="0"/>
    </xf>
    <xf numFmtId="2" fontId="21" fillId="12" borderId="7" xfId="0" applyNumberFormat="1" applyFont="1" applyFill="1" applyBorder="1" applyAlignment="1" applyProtection="1">
      <alignment horizontal="center" wrapText="1"/>
      <protection locked="0"/>
    </xf>
    <xf numFmtId="1" fontId="22" fillId="12" borderId="7" xfId="0" applyNumberFormat="1" applyFont="1" applyFill="1" applyBorder="1" applyAlignment="1" applyProtection="1">
      <alignment horizontal="center" wrapText="1"/>
      <protection locked="0"/>
    </xf>
    <xf numFmtId="2" fontId="21" fillId="12" borderId="7" xfId="0" applyNumberFormat="1" applyFont="1" applyFill="1" applyBorder="1" applyAlignment="1">
      <alignment horizontal="center"/>
    </xf>
    <xf numFmtId="0" fontId="2" fillId="12" borderId="0" xfId="0" applyFont="1" applyFill="1"/>
    <xf numFmtId="165" fontId="21" fillId="2" borderId="7" xfId="0" applyNumberFormat="1" applyFont="1" applyFill="1" applyBorder="1"/>
    <xf numFmtId="164" fontId="15" fillId="2" borderId="7" xfId="0" applyNumberFormat="1" applyFont="1" applyFill="1" applyBorder="1" applyAlignment="1" applyProtection="1">
      <alignment horizontal="center" wrapText="1"/>
      <protection locked="0"/>
    </xf>
    <xf numFmtId="165" fontId="13" fillId="0" borderId="0" xfId="0" applyNumberFormat="1" applyFont="1" applyAlignment="1">
      <alignment horizontal="center"/>
    </xf>
    <xf numFmtId="165" fontId="13" fillId="2" borderId="7" xfId="0" applyNumberFormat="1" applyFont="1" applyFill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165" fontId="13" fillId="1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 applyProtection="1">
      <alignment horizontal="center" wrapText="1"/>
      <protection locked="0"/>
    </xf>
    <xf numFmtId="165" fontId="15" fillId="3" borderId="7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165" fontId="2" fillId="30" borderId="7" xfId="0" applyNumberFormat="1" applyFont="1" applyFill="1" applyBorder="1" applyAlignment="1" applyProtection="1">
      <alignment horizontal="center" wrapText="1"/>
      <protection locked="0"/>
    </xf>
    <xf numFmtId="164" fontId="13" fillId="12" borderId="7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wrapText="1"/>
      <protection locked="0"/>
    </xf>
    <xf numFmtId="1" fontId="2" fillId="12" borderId="4" xfId="0" applyNumberFormat="1" applyFont="1" applyFill="1" applyBorder="1" applyAlignment="1" applyProtection="1">
      <alignment horizontal="center" wrapText="1"/>
      <protection locked="0"/>
    </xf>
    <xf numFmtId="0" fontId="2" fillId="12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 applyProtection="1">
      <alignment horizont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5" xfId="0" applyFont="1" applyFill="1" applyBorder="1" applyAlignment="1" applyProtection="1">
      <alignment horizontal="center" vertical="center" wrapText="1"/>
      <protection locked="0"/>
    </xf>
    <xf numFmtId="0" fontId="9" fillId="14" borderId="6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9" borderId="4" xfId="0" applyFont="1" applyFill="1" applyBorder="1" applyAlignment="1">
      <alignment horizontal="center" vertical="center" wrapText="1"/>
    </xf>
    <xf numFmtId="0" fontId="2" fillId="29" borderId="5" xfId="0" applyFont="1" applyFill="1" applyBorder="1" applyAlignment="1">
      <alignment horizontal="center" vertical="center" wrapText="1"/>
    </xf>
    <xf numFmtId="0" fontId="2" fillId="26" borderId="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 vertical="center" wrapText="1"/>
    </xf>
    <xf numFmtId="0" fontId="2" fillId="26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6E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82;&#1086;&#1084;&#1087;&#1083;&#1077;&#1082;&#1089;&#1085;&#1086;&#1081;%20&#1086;&#1094;&#1077;&#1085;&#1082;&#1080;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Доска объявлений"/>
      <sheetName val="Город"/>
      <sheetName val="К-Агач"/>
      <sheetName val="Майма"/>
      <sheetName val="Онгудай"/>
      <sheetName val="Мониторинг согласования"/>
      <sheetName val="Турочак"/>
      <sheetName val="Улаган"/>
      <sheetName val="У-Кан"/>
      <sheetName val="У-Кокса"/>
      <sheetName val="Чемал"/>
      <sheetName val="Чоя"/>
      <sheetName val="Шебалино"/>
      <sheetName val="Подуш"/>
      <sheetName val="коэффициенты"/>
      <sheetName val="к среднему по РА"/>
      <sheetName val="Ранги"/>
      <sheetName val="РАСЧЕТ"/>
      <sheetName val="Ранги на печать"/>
    </sheetNames>
    <sheetDataSet>
      <sheetData sheetId="0" refreshError="1"/>
      <sheetData sheetId="1" refreshError="1"/>
      <sheetData sheetId="2" refreshError="1">
        <row r="5">
          <cell r="D5">
            <v>133.4</v>
          </cell>
        </row>
        <row r="13">
          <cell r="D13">
            <v>75.900000000000006</v>
          </cell>
        </row>
      </sheetData>
      <sheetData sheetId="3" refreshError="1">
        <row r="5">
          <cell r="D5">
            <v>37.5</v>
          </cell>
        </row>
        <row r="13">
          <cell r="D13">
            <v>38.200000000000003</v>
          </cell>
        </row>
        <row r="31">
          <cell r="D31">
            <v>28</v>
          </cell>
        </row>
        <row r="46">
          <cell r="F46">
            <v>0</v>
          </cell>
        </row>
        <row r="47">
          <cell r="D47">
            <v>0</v>
          </cell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</sheetData>
      <sheetData sheetId="4" refreshError="1">
        <row r="5">
          <cell r="D5">
            <v>306.5</v>
          </cell>
        </row>
        <row r="13">
          <cell r="D13">
            <v>49.3</v>
          </cell>
        </row>
        <row r="31">
          <cell r="D31">
            <v>2265</v>
          </cell>
        </row>
      </sheetData>
      <sheetData sheetId="5" refreshError="1">
        <row r="5">
          <cell r="D5">
            <v>753.5</v>
          </cell>
        </row>
        <row r="13">
          <cell r="D13">
            <v>25.7</v>
          </cell>
        </row>
        <row r="31">
          <cell r="D31">
            <v>9496</v>
          </cell>
        </row>
      </sheetData>
      <sheetData sheetId="6" refreshError="1"/>
      <sheetData sheetId="7" refreshError="1">
        <row r="5">
          <cell r="D5">
            <v>10.199999999999999</v>
          </cell>
        </row>
        <row r="13">
          <cell r="D13">
            <v>93</v>
          </cell>
        </row>
        <row r="31">
          <cell r="D31">
            <v>0</v>
          </cell>
        </row>
      </sheetData>
      <sheetData sheetId="8" refreshError="1">
        <row r="5">
          <cell r="D5">
            <v>63.6</v>
          </cell>
        </row>
        <row r="13">
          <cell r="D13">
            <v>55.3</v>
          </cell>
        </row>
        <row r="31">
          <cell r="D31">
            <v>0</v>
          </cell>
        </row>
      </sheetData>
      <sheetData sheetId="9" refreshError="1">
        <row r="5">
          <cell r="D5">
            <v>32</v>
          </cell>
        </row>
        <row r="13">
          <cell r="D13">
            <v>81.8</v>
          </cell>
        </row>
        <row r="31">
          <cell r="D31">
            <v>8999</v>
          </cell>
        </row>
      </sheetData>
      <sheetData sheetId="10" refreshError="1">
        <row r="5">
          <cell r="D5">
            <v>86.9</v>
          </cell>
        </row>
        <row r="13">
          <cell r="D13">
            <v>40.6</v>
          </cell>
        </row>
        <row r="31">
          <cell r="D31">
            <v>23979</v>
          </cell>
        </row>
      </sheetData>
      <sheetData sheetId="11" refreshError="1">
        <row r="5">
          <cell r="D5">
            <v>59.6</v>
          </cell>
        </row>
        <row r="13">
          <cell r="D13">
            <v>60.5</v>
          </cell>
        </row>
        <row r="31">
          <cell r="D31">
            <v>2160</v>
          </cell>
        </row>
      </sheetData>
      <sheetData sheetId="12" refreshError="1">
        <row r="5">
          <cell r="D5">
            <v>80.8</v>
          </cell>
        </row>
        <row r="13">
          <cell r="D13">
            <v>96.5</v>
          </cell>
        </row>
        <row r="31">
          <cell r="D31">
            <v>10</v>
          </cell>
        </row>
      </sheetData>
      <sheetData sheetId="13" refreshError="1">
        <row r="5">
          <cell r="D5">
            <v>90.8</v>
          </cell>
        </row>
        <row r="13">
          <cell r="D13">
            <v>68.099999999999994</v>
          </cell>
        </row>
        <row r="31">
          <cell r="D31">
            <v>7313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H29"/>
  <sheetViews>
    <sheetView tabSelected="1" view="pageBreakPreview" topLeftCell="A3" zoomScale="68" zoomScaleSheetLayoutView="68" workbookViewId="0">
      <pane xSplit="3" ySplit="4" topLeftCell="D7" activePane="bottomRight" state="frozen"/>
      <selection activeCell="A3" sqref="A3"/>
      <selection pane="topRight" activeCell="D3" sqref="D3"/>
      <selection pane="bottomLeft" activeCell="A7" sqref="A7"/>
      <selection pane="bottomRight" activeCell="S23" sqref="S23"/>
    </sheetView>
  </sheetViews>
  <sheetFormatPr defaultColWidth="9.140625" defaultRowHeight="15.75"/>
  <cols>
    <col min="1" max="1" width="36.140625" style="1" customWidth="1"/>
    <col min="2" max="2" width="15.5703125" style="1" customWidth="1"/>
    <col min="3" max="3" width="14.42578125" style="2" customWidth="1"/>
    <col min="4" max="4" width="17.7109375" style="2" customWidth="1"/>
    <col min="5" max="5" width="16.7109375" style="1" customWidth="1"/>
    <col min="6" max="6" width="17.7109375" style="2" customWidth="1"/>
    <col min="7" max="8" width="9.42578125" style="2" customWidth="1"/>
    <col min="9" max="9" width="9.28515625" style="1" customWidth="1"/>
    <col min="10" max="14" width="8.5703125" style="1" customWidth="1"/>
    <col min="15" max="15" width="13.85546875" style="1" hidden="1" customWidth="1"/>
    <col min="16" max="16" width="14.85546875" style="1" customWidth="1"/>
    <col min="17" max="17" width="15.42578125" style="2" customWidth="1"/>
    <col min="18" max="19" width="10.42578125" style="2" customWidth="1"/>
    <col min="20" max="21" width="10.42578125" style="1" customWidth="1"/>
    <col min="22" max="22" width="14.42578125" style="1" hidden="1" customWidth="1"/>
    <col min="23" max="23" width="12.85546875" style="1" customWidth="1"/>
    <col min="24" max="24" width="13" style="2" customWidth="1"/>
    <col min="25" max="26" width="9.7109375" style="2" customWidth="1"/>
    <col min="27" max="28" width="12.7109375" style="1" customWidth="1"/>
    <col min="29" max="29" width="10.140625" style="1" hidden="1" customWidth="1"/>
    <col min="30" max="30" width="11.28515625" style="1" customWidth="1"/>
    <col min="31" max="31" width="14.42578125" style="1" customWidth="1"/>
    <col min="32" max="32" width="8" style="1" customWidth="1"/>
    <col min="33" max="33" width="9.28515625" style="1" customWidth="1"/>
    <col min="34" max="34" width="10.7109375" style="1" customWidth="1"/>
    <col min="35" max="35" width="10.42578125" style="1" customWidth="1"/>
    <col min="36" max="36" width="10" style="1" hidden="1" customWidth="1"/>
    <col min="37" max="37" width="11.5703125" style="1" customWidth="1"/>
    <col min="38" max="38" width="15.5703125" style="1" customWidth="1"/>
    <col min="39" max="39" width="11.42578125" style="1" customWidth="1"/>
    <col min="40" max="40" width="10.85546875" style="1" customWidth="1"/>
    <col min="41" max="41" width="10.42578125" style="1" customWidth="1"/>
    <col min="42" max="42" width="11.28515625" style="1" customWidth="1"/>
    <col min="43" max="43" width="12" style="1" customWidth="1"/>
    <col min="44" max="44" width="10.7109375" style="1" hidden="1" customWidth="1"/>
    <col min="45" max="45" width="13.140625" style="1" customWidth="1"/>
    <col min="46" max="46" width="13.85546875" style="1" customWidth="1"/>
    <col min="47" max="50" width="9.5703125" style="1" customWidth="1"/>
    <col min="51" max="51" width="10.7109375" style="2" hidden="1" customWidth="1"/>
    <col min="52" max="52" width="10.5703125" style="2" customWidth="1"/>
    <col min="53" max="53" width="11.42578125" style="2" customWidth="1"/>
    <col min="54" max="55" width="9.5703125" style="2" customWidth="1"/>
    <col min="56" max="56" width="11.28515625" style="1" customWidth="1"/>
    <col min="57" max="57" width="11.85546875" style="1" customWidth="1"/>
    <col min="58" max="58" width="12.140625" style="2" hidden="1" customWidth="1"/>
    <col min="59" max="59" width="13" style="2" customWidth="1"/>
    <col min="60" max="60" width="13.5703125" style="2" customWidth="1"/>
    <col min="61" max="62" width="9.5703125" style="2" customWidth="1"/>
    <col min="63" max="63" width="9.5703125" style="1" customWidth="1"/>
    <col min="64" max="64" width="9.28515625" style="1" customWidth="1"/>
    <col min="65" max="65" width="11.5703125" style="1" hidden="1" customWidth="1"/>
    <col min="66" max="66" width="9.5703125" style="1" customWidth="1"/>
    <col min="67" max="69" width="9.5703125" style="2" customWidth="1"/>
    <col min="70" max="71" width="9.5703125" style="2" hidden="1" customWidth="1"/>
    <col min="72" max="73" width="9.5703125" style="1" customWidth="1"/>
    <col min="74" max="74" width="11.7109375" style="1" hidden="1" customWidth="1"/>
    <col min="75" max="75" width="9.5703125" style="1" customWidth="1"/>
    <col min="76" max="80" width="9.5703125" style="2" customWidth="1"/>
    <col min="81" max="81" width="9.5703125" style="2" hidden="1" customWidth="1"/>
    <col min="82" max="82" width="9.5703125" style="1" customWidth="1"/>
    <col min="83" max="85" width="9.5703125" style="2" customWidth="1"/>
    <col min="86" max="87" width="9.5703125" style="1" customWidth="1"/>
    <col min="88" max="88" width="14.28515625" style="1" hidden="1" customWidth="1"/>
    <col min="89" max="94" width="9.5703125" style="1" customWidth="1"/>
    <col min="95" max="95" width="13.85546875" style="1" hidden="1" customWidth="1"/>
    <col min="96" max="96" width="13.85546875" style="1" customWidth="1"/>
    <col min="97" max="97" width="15.5703125" style="1" customWidth="1"/>
    <col min="98" max="98" width="13.85546875" style="1" customWidth="1"/>
    <col min="99" max="100" width="9.5703125" style="1" bestFit="1" customWidth="1"/>
    <col min="101" max="101" width="13" style="1" customWidth="1"/>
    <col min="102" max="102" width="8.5703125" style="1" hidden="1" customWidth="1"/>
    <col min="103" max="103" width="12.5703125" style="1" customWidth="1"/>
    <col min="104" max="104" width="11.85546875" style="1" customWidth="1"/>
    <col min="105" max="105" width="13.140625" style="1" customWidth="1"/>
    <col min="106" max="106" width="10.5703125" style="1" customWidth="1"/>
    <col min="107" max="107" width="13.140625" style="1" customWidth="1"/>
    <col min="108" max="108" width="9.140625" style="1"/>
    <col min="109" max="109" width="17.85546875" style="1" customWidth="1"/>
    <col min="110" max="111" width="20.5703125" style="2" customWidth="1"/>
    <col min="112" max="112" width="11.28515625" style="2" customWidth="1"/>
    <col min="113" max="113" width="11.28515625" style="1" customWidth="1"/>
    <col min="114" max="115" width="10.7109375" style="1" customWidth="1"/>
    <col min="116" max="116" width="16.7109375" style="1" customWidth="1"/>
    <col min="117" max="117" width="17.42578125" style="2" customWidth="1"/>
    <col min="118" max="118" width="11.28515625" style="1" customWidth="1"/>
    <col min="119" max="120" width="10.7109375" style="1" customWidth="1"/>
    <col min="121" max="122" width="14.7109375" style="1" customWidth="1"/>
    <col min="123" max="123" width="10.5703125" style="1" customWidth="1"/>
    <col min="124" max="124" width="12.42578125" style="1" customWidth="1"/>
    <col min="125" max="125" width="15.140625" style="1" customWidth="1"/>
    <col min="126" max="126" width="11.7109375" style="1" customWidth="1"/>
    <col min="127" max="129" width="11.7109375" style="2" customWidth="1"/>
    <col min="130" max="130" width="11.42578125" style="1" customWidth="1"/>
    <col min="131" max="132" width="10.28515625" style="1" customWidth="1"/>
    <col min="133" max="133" width="8.28515625" style="3" hidden="1" customWidth="1"/>
    <col min="134" max="134" width="8.28515625" style="1" customWidth="1"/>
    <col min="135" max="136" width="8.28515625" style="2" customWidth="1"/>
    <col min="137" max="138" width="8.28515625" style="1" customWidth="1"/>
    <col min="139" max="139" width="9.28515625" style="1" customWidth="1"/>
    <col min="140" max="140" width="12.28515625" style="1" hidden="1" customWidth="1"/>
    <col min="141" max="141" width="13.42578125" style="1" customWidth="1"/>
    <col min="142" max="143" width="13.7109375" style="2" customWidth="1"/>
    <col min="144" max="145" width="9.7109375" style="1" customWidth="1"/>
    <col min="146" max="146" width="10.7109375" style="1" customWidth="1"/>
    <col min="147" max="147" width="9.7109375" style="1" customWidth="1"/>
    <col min="148" max="148" width="11.28515625" style="1" hidden="1" customWidth="1"/>
    <col min="149" max="149" width="10.28515625" style="1" customWidth="1"/>
    <col min="150" max="150" width="10.7109375" style="1" customWidth="1"/>
    <col min="151" max="151" width="10.42578125" style="1" customWidth="1"/>
    <col min="152" max="152" width="11.7109375" style="1" customWidth="1"/>
    <col min="153" max="153" width="0" style="1" hidden="1" customWidth="1"/>
    <col min="154" max="154" width="9.140625" style="1"/>
    <col min="155" max="155" width="9.28515625" style="2" customWidth="1"/>
    <col min="156" max="156" width="10.140625" style="2" bestFit="1" customWidth="1"/>
    <col min="157" max="159" width="9.140625" style="2"/>
    <col min="160" max="160" width="8.7109375" style="2" hidden="1" customWidth="1"/>
    <col min="161" max="161" width="8.7109375" style="2" customWidth="1"/>
    <col min="162" max="162" width="9" style="2" customWidth="1"/>
    <col min="163" max="165" width="8.7109375" style="2" customWidth="1"/>
    <col min="166" max="166" width="8.7109375" style="1" customWidth="1"/>
    <col min="167" max="167" width="12.85546875" style="1" hidden="1" customWidth="1"/>
    <col min="168" max="168" width="18.5703125" style="1" hidden="1" customWidth="1"/>
    <col min="169" max="169" width="18.7109375" style="1" hidden="1" customWidth="1"/>
    <col min="170" max="170" width="23.85546875" style="1" hidden="1" customWidth="1"/>
    <col min="171" max="171" width="35.42578125" style="1" hidden="1" customWidth="1"/>
    <col min="172" max="172" width="21.85546875" style="1" hidden="1" customWidth="1"/>
    <col min="173" max="173" width="9.5703125" style="1" hidden="1" customWidth="1"/>
    <col min="174" max="174" width="9.5703125" style="1" customWidth="1"/>
    <col min="175" max="176" width="9.5703125" style="2" customWidth="1"/>
    <col min="177" max="180" width="9.5703125" style="1" customWidth="1"/>
    <col min="181" max="181" width="11.5703125" style="1" hidden="1" customWidth="1"/>
    <col min="182" max="182" width="16.85546875" style="1" hidden="1" customWidth="1"/>
    <col min="183" max="183" width="8.140625" style="1" hidden="1" customWidth="1"/>
    <col min="184" max="184" width="14.5703125" style="1" customWidth="1"/>
    <col min="185" max="185" width="15.85546875" style="1" customWidth="1"/>
    <col min="186" max="186" width="14.7109375" style="1" customWidth="1"/>
    <col min="187" max="188" width="11.5703125" style="1" customWidth="1"/>
    <col min="189" max="189" width="11.28515625" style="1" customWidth="1"/>
    <col min="190" max="190" width="11.7109375" style="1" customWidth="1"/>
    <col min="191" max="193" width="9.140625" style="1"/>
    <col min="194" max="194" width="20.7109375" style="1" customWidth="1"/>
    <col min="195" max="195" width="16" style="1" customWidth="1"/>
    <col min="196" max="196" width="12.28515625" style="1" customWidth="1"/>
    <col min="197" max="200" width="0" style="1" hidden="1" customWidth="1"/>
    <col min="201" max="201" width="0.28515625" style="1" customWidth="1"/>
    <col min="202" max="204" width="13.28515625" style="1" customWidth="1"/>
    <col min="205" max="205" width="0" style="1" hidden="1" customWidth="1"/>
    <col min="206" max="206" width="9" style="1" hidden="1" customWidth="1"/>
    <col min="207" max="215" width="9.140625" style="1"/>
    <col min="216" max="216" width="10.28515625" style="1" customWidth="1"/>
    <col min="217" max="16384" width="9.140625" style="1"/>
  </cols>
  <sheetData>
    <row r="1" spans="1:216" ht="12.6" customHeight="1"/>
    <row r="2" spans="1:216" ht="32.450000000000003" customHeight="1">
      <c r="E2" s="362" t="s">
        <v>0</v>
      </c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  <c r="BE2" s="362"/>
      <c r="BF2" s="362"/>
      <c r="BG2" s="362"/>
      <c r="BH2" s="362"/>
      <c r="BI2" s="362"/>
      <c r="BJ2" s="362"/>
      <c r="BK2" s="362"/>
      <c r="BL2" s="362"/>
      <c r="BM2" s="362"/>
      <c r="BN2" s="362"/>
      <c r="BO2" s="362"/>
      <c r="BP2" s="362"/>
      <c r="BQ2" s="362"/>
      <c r="BR2" s="362"/>
      <c r="BS2" s="362"/>
      <c r="BT2" s="362"/>
      <c r="BU2" s="102"/>
      <c r="BV2" s="102"/>
      <c r="BW2" s="4"/>
      <c r="BX2" s="5"/>
      <c r="BY2" s="5"/>
      <c r="BZ2" s="5"/>
      <c r="CA2" s="5"/>
      <c r="CB2" s="5"/>
      <c r="CC2" s="5"/>
      <c r="CD2" s="4"/>
    </row>
    <row r="3" spans="1:216" ht="27" customHeight="1"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BI3" s="362"/>
      <c r="BJ3" s="362"/>
      <c r="BK3" s="362"/>
      <c r="BL3" s="362"/>
      <c r="BM3" s="362"/>
      <c r="BN3" s="362"/>
      <c r="BO3" s="362"/>
      <c r="BP3" s="362"/>
      <c r="BQ3" s="362"/>
      <c r="BR3" s="362"/>
      <c r="BS3" s="362"/>
      <c r="BT3" s="362"/>
      <c r="BU3" s="102"/>
      <c r="BV3" s="102"/>
    </row>
    <row r="4" spans="1:216" ht="22.15" customHeight="1">
      <c r="V4" s="6"/>
      <c r="W4" s="6"/>
      <c r="X4" s="7" t="s">
        <v>87</v>
      </c>
      <c r="Y4" s="7"/>
      <c r="Z4" s="7"/>
      <c r="AA4" s="8"/>
    </row>
    <row r="5" spans="1:216" s="14" customFormat="1" ht="151.9" customHeight="1">
      <c r="A5" s="374" t="s">
        <v>1</v>
      </c>
      <c r="B5" s="103" t="s">
        <v>98</v>
      </c>
      <c r="C5" s="376" t="s">
        <v>97</v>
      </c>
      <c r="D5" s="366" t="s">
        <v>2</v>
      </c>
      <c r="E5" s="366"/>
      <c r="F5" s="366"/>
      <c r="G5" s="366"/>
      <c r="H5" s="366"/>
      <c r="I5" s="366"/>
      <c r="J5" s="366"/>
      <c r="K5" s="366"/>
      <c r="L5" s="366"/>
      <c r="M5" s="366"/>
      <c r="N5" s="367"/>
      <c r="O5" s="363" t="s">
        <v>3</v>
      </c>
      <c r="P5" s="364"/>
      <c r="Q5" s="364"/>
      <c r="R5" s="364"/>
      <c r="S5" s="364"/>
      <c r="T5" s="364"/>
      <c r="U5" s="365"/>
      <c r="V5" s="368" t="s">
        <v>65</v>
      </c>
      <c r="W5" s="369"/>
      <c r="X5" s="369"/>
      <c r="Y5" s="369"/>
      <c r="Z5" s="369"/>
      <c r="AA5" s="369"/>
      <c r="AB5" s="370"/>
      <c r="AC5" s="368" t="s">
        <v>4</v>
      </c>
      <c r="AD5" s="369"/>
      <c r="AE5" s="369"/>
      <c r="AF5" s="369"/>
      <c r="AG5" s="369"/>
      <c r="AH5" s="369"/>
      <c r="AI5" s="370"/>
      <c r="AJ5" s="368" t="s">
        <v>5</v>
      </c>
      <c r="AK5" s="369"/>
      <c r="AL5" s="369"/>
      <c r="AM5" s="369"/>
      <c r="AN5" s="369"/>
      <c r="AO5" s="369"/>
      <c r="AP5" s="369"/>
      <c r="AQ5" s="370"/>
      <c r="AR5" s="368" t="s">
        <v>56</v>
      </c>
      <c r="AS5" s="369"/>
      <c r="AT5" s="369"/>
      <c r="AU5" s="369"/>
      <c r="AV5" s="369"/>
      <c r="AW5" s="369"/>
      <c r="AX5" s="370"/>
      <c r="AY5" s="371" t="s">
        <v>6</v>
      </c>
      <c r="AZ5" s="372"/>
      <c r="BA5" s="372"/>
      <c r="BB5" s="372"/>
      <c r="BC5" s="372"/>
      <c r="BD5" s="372"/>
      <c r="BE5" s="373"/>
      <c r="BF5" s="371" t="s">
        <v>7</v>
      </c>
      <c r="BG5" s="372"/>
      <c r="BH5" s="372"/>
      <c r="BI5" s="372"/>
      <c r="BJ5" s="372"/>
      <c r="BK5" s="372"/>
      <c r="BL5" s="373"/>
      <c r="BM5" s="371" t="s">
        <v>8</v>
      </c>
      <c r="BN5" s="372"/>
      <c r="BO5" s="372"/>
      <c r="BP5" s="372"/>
      <c r="BQ5" s="372"/>
      <c r="BR5" s="372"/>
      <c r="BS5" s="372"/>
      <c r="BT5" s="372"/>
      <c r="BU5" s="373"/>
      <c r="BV5" s="371" t="s">
        <v>9</v>
      </c>
      <c r="BW5" s="372"/>
      <c r="BX5" s="372"/>
      <c r="BY5" s="372"/>
      <c r="BZ5" s="372"/>
      <c r="CA5" s="372"/>
      <c r="CB5" s="373"/>
      <c r="CC5" s="237"/>
      <c r="CD5" s="372" t="s">
        <v>10</v>
      </c>
      <c r="CE5" s="372"/>
      <c r="CF5" s="372"/>
      <c r="CG5" s="372"/>
      <c r="CH5" s="372"/>
      <c r="CI5" s="373"/>
      <c r="CJ5" s="371" t="s">
        <v>11</v>
      </c>
      <c r="CK5" s="372"/>
      <c r="CL5" s="372"/>
      <c r="CM5" s="372"/>
      <c r="CN5" s="372"/>
      <c r="CO5" s="372"/>
      <c r="CP5" s="373"/>
      <c r="CQ5" s="392" t="s">
        <v>72</v>
      </c>
      <c r="CR5" s="393"/>
      <c r="CS5" s="393"/>
      <c r="CT5" s="393"/>
      <c r="CU5" s="393"/>
      <c r="CV5" s="393"/>
      <c r="CW5" s="394"/>
      <c r="CX5" s="395" t="s">
        <v>71</v>
      </c>
      <c r="CY5" s="396"/>
      <c r="CZ5" s="396"/>
      <c r="DA5" s="396"/>
      <c r="DB5" s="396"/>
      <c r="DC5" s="396"/>
      <c r="DD5" s="397"/>
      <c r="DE5" s="383" t="s">
        <v>66</v>
      </c>
      <c r="DF5" s="384"/>
      <c r="DG5" s="384"/>
      <c r="DH5" s="384"/>
      <c r="DI5" s="384"/>
      <c r="DJ5" s="384"/>
      <c r="DK5" s="385"/>
      <c r="DL5" s="356" t="s">
        <v>12</v>
      </c>
      <c r="DM5" s="357"/>
      <c r="DN5" s="357"/>
      <c r="DO5" s="357"/>
      <c r="DP5" s="358"/>
      <c r="DQ5" s="359" t="s">
        <v>93</v>
      </c>
      <c r="DR5" s="360"/>
      <c r="DS5" s="360"/>
      <c r="DT5" s="360"/>
      <c r="DU5" s="361"/>
      <c r="DV5" s="353" t="s">
        <v>94</v>
      </c>
      <c r="DW5" s="354"/>
      <c r="DX5" s="354"/>
      <c r="DY5" s="354"/>
      <c r="DZ5" s="354"/>
      <c r="EA5" s="354"/>
      <c r="EB5" s="355"/>
      <c r="EC5" s="402" t="s">
        <v>13</v>
      </c>
      <c r="ED5" s="403"/>
      <c r="EE5" s="403"/>
      <c r="EF5" s="403"/>
      <c r="EG5" s="403"/>
      <c r="EH5" s="403"/>
      <c r="EI5" s="404"/>
      <c r="EJ5" s="401" t="s">
        <v>101</v>
      </c>
      <c r="EK5" s="401"/>
      <c r="EL5" s="401"/>
      <c r="EM5" s="401"/>
      <c r="EN5" s="401"/>
      <c r="EO5" s="401"/>
      <c r="EP5" s="401"/>
      <c r="EQ5" s="401"/>
      <c r="ER5" s="400" t="s">
        <v>99</v>
      </c>
      <c r="ES5" s="400"/>
      <c r="ET5" s="400"/>
      <c r="EU5" s="400"/>
      <c r="EV5" s="400"/>
      <c r="EW5" s="405" t="s">
        <v>14</v>
      </c>
      <c r="EX5" s="406"/>
      <c r="EY5" s="406"/>
      <c r="EZ5" s="406"/>
      <c r="FA5" s="406"/>
      <c r="FB5" s="406"/>
      <c r="FC5" s="407"/>
      <c r="FD5" s="350" t="s">
        <v>15</v>
      </c>
      <c r="FE5" s="351"/>
      <c r="FF5" s="351"/>
      <c r="FG5" s="351"/>
      <c r="FH5" s="351"/>
      <c r="FI5" s="351"/>
      <c r="FJ5" s="352"/>
      <c r="FK5" s="9"/>
      <c r="FL5" s="10" t="s">
        <v>16</v>
      </c>
      <c r="FM5" s="10"/>
      <c r="FN5" s="10"/>
      <c r="FO5" s="10"/>
      <c r="FP5" s="10"/>
      <c r="FQ5" s="353" t="s">
        <v>17</v>
      </c>
      <c r="FR5" s="354"/>
      <c r="FS5" s="354"/>
      <c r="FT5" s="354"/>
      <c r="FU5" s="354"/>
      <c r="FV5" s="354"/>
      <c r="FW5" s="354"/>
      <c r="FX5" s="355"/>
      <c r="FY5" s="11"/>
      <c r="FZ5" s="12" t="s">
        <v>18</v>
      </c>
      <c r="GA5" s="13"/>
      <c r="GB5" s="390" t="s">
        <v>19</v>
      </c>
      <c r="GC5" s="391"/>
      <c r="GD5" s="391"/>
      <c r="GE5" s="391"/>
      <c r="GF5" s="391"/>
      <c r="GG5" s="391"/>
      <c r="GH5" s="391"/>
      <c r="GI5" s="398" t="s">
        <v>20</v>
      </c>
      <c r="GJ5" s="398"/>
      <c r="GK5" s="399"/>
      <c r="GL5" s="386" t="s">
        <v>91</v>
      </c>
      <c r="GM5" s="387"/>
      <c r="GN5" s="387"/>
      <c r="GO5" s="387"/>
      <c r="GP5" s="387"/>
      <c r="GQ5" s="387"/>
      <c r="GR5" s="387"/>
      <c r="GS5" s="388"/>
      <c r="GT5" s="389" t="s">
        <v>59</v>
      </c>
      <c r="GU5" s="382"/>
      <c r="GV5" s="382"/>
      <c r="GW5" s="382"/>
      <c r="GX5" s="382"/>
      <c r="GY5" s="378" t="s">
        <v>70</v>
      </c>
      <c r="GZ5" s="379"/>
      <c r="HA5" s="379"/>
      <c r="HB5" s="380" t="s">
        <v>67</v>
      </c>
      <c r="HC5" s="381"/>
      <c r="HD5" s="381"/>
      <c r="HE5" s="381"/>
      <c r="HF5" s="381"/>
      <c r="HG5" s="382" t="s">
        <v>68</v>
      </c>
      <c r="HH5" s="382"/>
    </row>
    <row r="6" spans="1:216" s="14" customFormat="1" ht="89.45" customHeight="1">
      <c r="A6" s="375"/>
      <c r="B6" s="104"/>
      <c r="C6" s="377"/>
      <c r="D6" s="15">
        <v>2017</v>
      </c>
      <c r="E6" s="15">
        <v>2018</v>
      </c>
      <c r="F6" s="15">
        <v>2019</v>
      </c>
      <c r="G6" s="15" t="s">
        <v>21</v>
      </c>
      <c r="H6" s="15" t="s">
        <v>22</v>
      </c>
      <c r="I6" s="15" t="s">
        <v>24</v>
      </c>
      <c r="J6" s="15" t="s">
        <v>74</v>
      </c>
      <c r="K6" s="15" t="s">
        <v>22</v>
      </c>
      <c r="L6" s="16" t="s">
        <v>26</v>
      </c>
      <c r="M6" s="16" t="s">
        <v>81</v>
      </c>
      <c r="N6" s="17" t="s">
        <v>22</v>
      </c>
      <c r="O6" s="18">
        <v>2016</v>
      </c>
      <c r="P6" s="18">
        <v>2018</v>
      </c>
      <c r="Q6" s="18">
        <v>2019</v>
      </c>
      <c r="R6" s="19" t="s">
        <v>28</v>
      </c>
      <c r="S6" s="19" t="s">
        <v>86</v>
      </c>
      <c r="T6" s="20" t="s">
        <v>26</v>
      </c>
      <c r="U6" s="20" t="s">
        <v>81</v>
      </c>
      <c r="V6" s="21">
        <v>2017</v>
      </c>
      <c r="W6" s="21">
        <v>2018</v>
      </c>
      <c r="X6" s="21">
        <v>2019</v>
      </c>
      <c r="Y6" s="21" t="s">
        <v>28</v>
      </c>
      <c r="Z6" s="21" t="s">
        <v>86</v>
      </c>
      <c r="AA6" s="21" t="s">
        <v>30</v>
      </c>
      <c r="AB6" s="21" t="s">
        <v>85</v>
      </c>
      <c r="AC6" s="21">
        <v>2017</v>
      </c>
      <c r="AD6" s="21">
        <v>2018</v>
      </c>
      <c r="AE6" s="21">
        <v>2019</v>
      </c>
      <c r="AF6" s="21" t="s">
        <v>28</v>
      </c>
      <c r="AG6" s="21" t="s">
        <v>86</v>
      </c>
      <c r="AH6" s="21" t="s">
        <v>30</v>
      </c>
      <c r="AI6" s="21" t="s">
        <v>85</v>
      </c>
      <c r="AJ6" s="21">
        <v>2017</v>
      </c>
      <c r="AK6" s="21">
        <v>2018</v>
      </c>
      <c r="AL6" s="21">
        <v>2019</v>
      </c>
      <c r="AM6" s="21" t="s">
        <v>73</v>
      </c>
      <c r="AN6" s="21" t="s">
        <v>28</v>
      </c>
      <c r="AO6" s="21" t="s">
        <v>86</v>
      </c>
      <c r="AP6" s="21" t="s">
        <v>30</v>
      </c>
      <c r="AQ6" s="21" t="s">
        <v>85</v>
      </c>
      <c r="AR6" s="22">
        <v>2017</v>
      </c>
      <c r="AS6" s="22">
        <v>2018</v>
      </c>
      <c r="AT6" s="22">
        <v>2019</v>
      </c>
      <c r="AU6" s="22" t="s">
        <v>24</v>
      </c>
      <c r="AV6" s="22" t="s">
        <v>74</v>
      </c>
      <c r="AW6" s="21" t="s">
        <v>29</v>
      </c>
      <c r="AX6" s="21" t="s">
        <v>84</v>
      </c>
      <c r="AY6" s="21">
        <v>2016</v>
      </c>
      <c r="AZ6" s="21">
        <v>2018</v>
      </c>
      <c r="BA6" s="23">
        <v>2019</v>
      </c>
      <c r="BB6" s="21" t="s">
        <v>24</v>
      </c>
      <c r="BC6" s="21" t="s">
        <v>74</v>
      </c>
      <c r="BD6" s="21" t="s">
        <v>29</v>
      </c>
      <c r="BE6" s="21" t="s">
        <v>84</v>
      </c>
      <c r="BF6" s="21">
        <v>2017</v>
      </c>
      <c r="BG6" s="21">
        <v>2018</v>
      </c>
      <c r="BH6" s="24">
        <v>2019</v>
      </c>
      <c r="BI6" s="22" t="s">
        <v>24</v>
      </c>
      <c r="BJ6" s="21" t="s">
        <v>74</v>
      </c>
      <c r="BK6" s="21" t="s">
        <v>29</v>
      </c>
      <c r="BL6" s="21" t="s">
        <v>84</v>
      </c>
      <c r="BM6" s="21">
        <v>2017</v>
      </c>
      <c r="BN6" s="21">
        <v>2018</v>
      </c>
      <c r="BO6" s="24">
        <v>2019</v>
      </c>
      <c r="BP6" s="22" t="s">
        <v>24</v>
      </c>
      <c r="BQ6" s="21" t="s">
        <v>74</v>
      </c>
      <c r="BR6" s="21"/>
      <c r="BS6" s="21"/>
      <c r="BT6" s="21" t="s">
        <v>30</v>
      </c>
      <c r="BU6" s="21" t="s">
        <v>85</v>
      </c>
      <c r="BV6" s="21">
        <v>2017</v>
      </c>
      <c r="BW6" s="21">
        <v>2018</v>
      </c>
      <c r="BX6" s="24">
        <v>2019</v>
      </c>
      <c r="BY6" s="22" t="s">
        <v>24</v>
      </c>
      <c r="BZ6" s="21" t="s">
        <v>74</v>
      </c>
      <c r="CA6" s="21" t="s">
        <v>30</v>
      </c>
      <c r="CB6" s="21" t="s">
        <v>85</v>
      </c>
      <c r="CC6" s="21">
        <v>2017</v>
      </c>
      <c r="CD6" s="21">
        <v>2018</v>
      </c>
      <c r="CE6" s="24">
        <v>2019</v>
      </c>
      <c r="CF6" s="22" t="s">
        <v>24</v>
      </c>
      <c r="CG6" s="21" t="s">
        <v>74</v>
      </c>
      <c r="CH6" s="21" t="s">
        <v>30</v>
      </c>
      <c r="CI6" s="21" t="s">
        <v>85</v>
      </c>
      <c r="CJ6" s="21">
        <v>2017</v>
      </c>
      <c r="CK6" s="21">
        <v>2018</v>
      </c>
      <c r="CL6" s="24">
        <v>2019</v>
      </c>
      <c r="CM6" s="22" t="s">
        <v>24</v>
      </c>
      <c r="CN6" s="21" t="s">
        <v>74</v>
      </c>
      <c r="CO6" s="21" t="s">
        <v>29</v>
      </c>
      <c r="CP6" s="21" t="s">
        <v>84</v>
      </c>
      <c r="CQ6" s="39">
        <v>2016</v>
      </c>
      <c r="CR6" s="39">
        <v>2018</v>
      </c>
      <c r="CS6" s="39">
        <v>2019</v>
      </c>
      <c r="CT6" s="39" t="s">
        <v>24</v>
      </c>
      <c r="CU6" s="39" t="s">
        <v>74</v>
      </c>
      <c r="CV6" s="39" t="s">
        <v>31</v>
      </c>
      <c r="CW6" s="39" t="s">
        <v>76</v>
      </c>
      <c r="CX6" s="40">
        <v>2016</v>
      </c>
      <c r="CY6" s="40">
        <v>2018</v>
      </c>
      <c r="CZ6" s="40">
        <v>2019</v>
      </c>
      <c r="DA6" s="40" t="s">
        <v>24</v>
      </c>
      <c r="DB6" s="40" t="s">
        <v>74</v>
      </c>
      <c r="DC6" s="40" t="s">
        <v>31</v>
      </c>
      <c r="DD6" s="40" t="s">
        <v>76</v>
      </c>
      <c r="DE6" s="176">
        <v>2018</v>
      </c>
      <c r="DF6" s="176">
        <v>2019</v>
      </c>
      <c r="DG6" s="176" t="s">
        <v>89</v>
      </c>
      <c r="DH6" s="176" t="s">
        <v>83</v>
      </c>
      <c r="DI6" s="176" t="s">
        <v>82</v>
      </c>
      <c r="DJ6" s="176" t="s">
        <v>26</v>
      </c>
      <c r="DK6" s="176" t="s">
        <v>81</v>
      </c>
      <c r="DL6" s="25">
        <v>2018</v>
      </c>
      <c r="DM6" s="25">
        <v>2019</v>
      </c>
      <c r="DN6" s="25" t="s">
        <v>74</v>
      </c>
      <c r="DO6" s="25" t="s">
        <v>26</v>
      </c>
      <c r="DP6" s="25" t="s">
        <v>81</v>
      </c>
      <c r="DQ6" s="26">
        <v>2018</v>
      </c>
      <c r="DR6" s="26">
        <v>2019</v>
      </c>
      <c r="DS6" s="26" t="s">
        <v>74</v>
      </c>
      <c r="DT6" s="26" t="s">
        <v>26</v>
      </c>
      <c r="DU6" s="26" t="s">
        <v>81</v>
      </c>
      <c r="DV6" s="27">
        <v>2018</v>
      </c>
      <c r="DW6" s="27">
        <v>2019</v>
      </c>
      <c r="DX6" s="27" t="s">
        <v>57</v>
      </c>
      <c r="DY6" s="27" t="s">
        <v>24</v>
      </c>
      <c r="DZ6" s="27" t="s">
        <v>74</v>
      </c>
      <c r="EA6" s="27" t="s">
        <v>26</v>
      </c>
      <c r="EB6" s="27" t="s">
        <v>81</v>
      </c>
      <c r="EC6" s="28">
        <v>2016</v>
      </c>
      <c r="ED6" s="29">
        <v>2018</v>
      </c>
      <c r="EE6" s="28">
        <v>2019</v>
      </c>
      <c r="EF6" s="28" t="s">
        <v>24</v>
      </c>
      <c r="EG6" s="29" t="s">
        <v>74</v>
      </c>
      <c r="EH6" s="28" t="s">
        <v>80</v>
      </c>
      <c r="EI6" s="28" t="s">
        <v>79</v>
      </c>
      <c r="EJ6" s="30">
        <v>2016</v>
      </c>
      <c r="EK6" s="30">
        <v>2018</v>
      </c>
      <c r="EL6" s="30">
        <v>2019</v>
      </c>
      <c r="EM6" s="30" t="s">
        <v>100</v>
      </c>
      <c r="EN6" s="30" t="s">
        <v>24</v>
      </c>
      <c r="EO6" s="30" t="s">
        <v>74</v>
      </c>
      <c r="EP6" s="30" t="s">
        <v>90</v>
      </c>
      <c r="EQ6" s="30" t="s">
        <v>81</v>
      </c>
      <c r="ER6" s="36">
        <v>2016</v>
      </c>
      <c r="ES6" s="36">
        <v>2018</v>
      </c>
      <c r="ET6" s="36">
        <v>2019</v>
      </c>
      <c r="EU6" s="36" t="s">
        <v>24</v>
      </c>
      <c r="EV6" s="36" t="s">
        <v>74</v>
      </c>
      <c r="EW6" s="31">
        <v>2016</v>
      </c>
      <c r="EX6" s="31">
        <v>2018</v>
      </c>
      <c r="EY6" s="31">
        <v>2019</v>
      </c>
      <c r="EZ6" s="31" t="s">
        <v>24</v>
      </c>
      <c r="FA6" s="31" t="s">
        <v>74</v>
      </c>
      <c r="FB6" s="31" t="s">
        <v>31</v>
      </c>
      <c r="FC6" s="31" t="s">
        <v>76</v>
      </c>
      <c r="FD6" s="32">
        <v>2016</v>
      </c>
      <c r="FE6" s="32">
        <v>2018</v>
      </c>
      <c r="FF6" s="32">
        <v>2019</v>
      </c>
      <c r="FG6" s="32" t="s">
        <v>24</v>
      </c>
      <c r="FH6" s="32" t="s">
        <v>74</v>
      </c>
      <c r="FI6" s="32" t="s">
        <v>78</v>
      </c>
      <c r="FJ6" s="32" t="s">
        <v>77</v>
      </c>
      <c r="FK6" s="33">
        <v>2016</v>
      </c>
      <c r="FL6" s="33">
        <v>2017</v>
      </c>
      <c r="FM6" s="33" t="s">
        <v>27</v>
      </c>
      <c r="FN6" s="33" t="s">
        <v>32</v>
      </c>
      <c r="FO6" s="33" t="s">
        <v>33</v>
      </c>
      <c r="FP6" s="33" t="s">
        <v>25</v>
      </c>
      <c r="FQ6" s="34">
        <v>2016</v>
      </c>
      <c r="FR6" s="34">
        <v>2018</v>
      </c>
      <c r="FS6" s="34">
        <v>2019</v>
      </c>
      <c r="FT6" s="34" t="s">
        <v>57</v>
      </c>
      <c r="FU6" s="34" t="s">
        <v>24</v>
      </c>
      <c r="FV6" s="34" t="s">
        <v>74</v>
      </c>
      <c r="FW6" s="35" t="s">
        <v>31</v>
      </c>
      <c r="FX6" s="35" t="s">
        <v>76</v>
      </c>
      <c r="FY6" s="37">
        <v>2016</v>
      </c>
      <c r="FZ6" s="37">
        <v>2017</v>
      </c>
      <c r="GA6" s="38" t="s">
        <v>23</v>
      </c>
      <c r="GB6" s="41">
        <v>2017</v>
      </c>
      <c r="GC6" s="41">
        <v>2018</v>
      </c>
      <c r="GD6" s="41">
        <v>2019</v>
      </c>
      <c r="GE6" s="41" t="s">
        <v>75</v>
      </c>
      <c r="GF6" s="41" t="s">
        <v>57</v>
      </c>
      <c r="GG6" s="41" t="s">
        <v>24</v>
      </c>
      <c r="GH6" s="41" t="s">
        <v>74</v>
      </c>
      <c r="GI6" s="42">
        <v>2018</v>
      </c>
      <c r="GJ6" s="42">
        <v>2019</v>
      </c>
      <c r="GK6" s="42" t="s">
        <v>74</v>
      </c>
      <c r="GL6" s="106">
        <v>2018</v>
      </c>
      <c r="GM6" s="106">
        <v>2019</v>
      </c>
      <c r="GN6" s="106" t="s">
        <v>74</v>
      </c>
      <c r="GO6" s="107" t="s">
        <v>60</v>
      </c>
      <c r="GP6" s="108" t="s">
        <v>61</v>
      </c>
      <c r="GQ6" s="109" t="s">
        <v>62</v>
      </c>
      <c r="GR6" s="110" t="s">
        <v>63</v>
      </c>
      <c r="GS6" s="111" t="s">
        <v>64</v>
      </c>
      <c r="GT6" s="112">
        <v>2018</v>
      </c>
      <c r="GU6" s="112">
        <v>2019</v>
      </c>
      <c r="GV6" s="112" t="s">
        <v>74</v>
      </c>
      <c r="GW6" s="107" t="s">
        <v>60</v>
      </c>
      <c r="GX6" s="108" t="s">
        <v>61</v>
      </c>
      <c r="GY6" s="199">
        <v>2018</v>
      </c>
      <c r="GZ6" s="199">
        <v>2019</v>
      </c>
      <c r="HA6" s="199" t="s">
        <v>24</v>
      </c>
      <c r="HB6" s="200">
        <v>2018</v>
      </c>
      <c r="HC6" s="200" t="s">
        <v>95</v>
      </c>
      <c r="HD6" s="200" t="s">
        <v>96</v>
      </c>
      <c r="HE6" s="200">
        <v>2019</v>
      </c>
      <c r="HF6" s="200" t="s">
        <v>74</v>
      </c>
      <c r="HG6" s="112">
        <v>2019</v>
      </c>
      <c r="HH6" s="112" t="s">
        <v>69</v>
      </c>
    </row>
    <row r="7" spans="1:216" s="2" customFormat="1" ht="19.899999999999999" customHeight="1">
      <c r="A7" s="43" t="s">
        <v>92</v>
      </c>
      <c r="B7" s="145">
        <v>63530</v>
      </c>
      <c r="C7" s="145">
        <v>64155</v>
      </c>
      <c r="D7" s="238">
        <v>10311538.4</v>
      </c>
      <c r="E7" s="98">
        <v>9270717.5999999996</v>
      </c>
      <c r="F7" s="98">
        <v>8893672.1999999993</v>
      </c>
      <c r="G7" s="44">
        <f>F7/$F$18*100</f>
        <v>51.900979318990871</v>
      </c>
      <c r="H7" s="45">
        <f>RANK(G7,$G$7:$G$17,0)</f>
        <v>1</v>
      </c>
      <c r="I7" s="198">
        <f>E7/D7*100</f>
        <v>89.906251040096976</v>
      </c>
      <c r="J7" s="98">
        <f>F7/E7*100</f>
        <v>95.932942666703596</v>
      </c>
      <c r="K7" s="148">
        <f>RANK(J7,$J$7:$J$17,0)</f>
        <v>8</v>
      </c>
      <c r="L7" s="44">
        <f>E7/B7</f>
        <v>145.92661104989767</v>
      </c>
      <c r="M7" s="46">
        <f>F7/C7</f>
        <v>138.62788870703764</v>
      </c>
      <c r="N7" s="148">
        <f t="shared" ref="N7:N17" si="0">RANK(M7,$M$7:$M$17,0)</f>
        <v>1</v>
      </c>
      <c r="O7" s="98">
        <v>3361916.2</v>
      </c>
      <c r="P7" s="332">
        <v>2766030.8</v>
      </c>
      <c r="Q7" s="234">
        <v>1776692.9</v>
      </c>
      <c r="R7" s="264">
        <v>92.2</v>
      </c>
      <c r="S7" s="98">
        <v>90.8</v>
      </c>
      <c r="T7" s="267">
        <f>P7/B7</f>
        <v>43.538970565087361</v>
      </c>
      <c r="U7" s="98">
        <f>Q7/C7</f>
        <v>27.693755747798299</v>
      </c>
      <c r="V7" s="98">
        <v>210575</v>
      </c>
      <c r="W7" s="98">
        <v>422.07581403000302</v>
      </c>
      <c r="X7" s="98">
        <v>436.59739999999999</v>
      </c>
      <c r="Y7" s="98">
        <v>99.5</v>
      </c>
      <c r="Z7" s="98">
        <v>95.5</v>
      </c>
      <c r="AA7" s="98">
        <f>W7*1000/B7</f>
        <v>6.6437244456162921</v>
      </c>
      <c r="AB7" s="98">
        <f>X7*1000/C7</f>
        <v>6.8053526615228739</v>
      </c>
      <c r="AC7" s="121" t="s">
        <v>34</v>
      </c>
      <c r="AD7" s="121"/>
      <c r="AE7" s="99"/>
      <c r="AF7" s="121"/>
      <c r="AG7" s="96"/>
      <c r="AH7" s="150"/>
      <c r="AI7" s="99"/>
      <c r="AJ7" s="118"/>
      <c r="AK7" s="164">
        <v>290.60000000000002</v>
      </c>
      <c r="AL7" s="164">
        <v>426.46170000000001</v>
      </c>
      <c r="AM7" s="164">
        <f>AL7*1000/X7*100</f>
        <v>97678.479074772331</v>
      </c>
      <c r="AN7" s="164">
        <v>100</v>
      </c>
      <c r="AO7" s="164">
        <v>95.4</v>
      </c>
      <c r="AP7" s="44">
        <f t="shared" ref="AP7:AP18" si="1">AK7/B7*1000</f>
        <v>4.5742169053990249</v>
      </c>
      <c r="AQ7" s="163">
        <f t="shared" ref="AQ7:AQ18" si="2">AL7/C7*1000</f>
        <v>6.6473649754500821</v>
      </c>
      <c r="AR7" s="121" t="s">
        <v>34</v>
      </c>
      <c r="AS7" s="121" t="s">
        <v>34</v>
      </c>
      <c r="AT7" s="96"/>
      <c r="AU7" s="121"/>
      <c r="AV7" s="121"/>
      <c r="AW7" s="121"/>
      <c r="AX7" s="121"/>
      <c r="AY7" s="197"/>
      <c r="AZ7" s="217">
        <v>79.8</v>
      </c>
      <c r="BA7" s="217">
        <v>79.7</v>
      </c>
      <c r="BB7" s="121"/>
      <c r="BC7" s="99">
        <f>BA7/AZ7*100</f>
        <v>99.874686716791985</v>
      </c>
      <c r="BD7" s="121"/>
      <c r="BE7" s="99"/>
      <c r="BF7" s="155"/>
      <c r="BG7" s="99">
        <v>9.8000000000000007</v>
      </c>
      <c r="BH7" s="217">
        <v>9</v>
      </c>
      <c r="BI7" s="121"/>
      <c r="BJ7" s="99"/>
      <c r="BK7" s="121"/>
      <c r="BL7" s="96"/>
      <c r="BM7" s="223">
        <v>83</v>
      </c>
      <c r="BN7" s="210">
        <v>84</v>
      </c>
      <c r="BO7" s="210">
        <v>80</v>
      </c>
      <c r="BP7" s="224">
        <f>BN7/BM7*100</f>
        <v>101.20481927710843</v>
      </c>
      <c r="BQ7" s="96">
        <f>BO7/BN7*100</f>
        <v>95.238095238095227</v>
      </c>
      <c r="BR7" s="96"/>
      <c r="BS7" s="96"/>
      <c r="BT7" s="160"/>
      <c r="BU7" s="160"/>
      <c r="BV7" s="153">
        <v>14</v>
      </c>
      <c r="BW7" s="210">
        <v>15</v>
      </c>
      <c r="BX7" s="210">
        <v>16</v>
      </c>
      <c r="BY7" s="224">
        <f>BW7/BV7*100</f>
        <v>107.14285714285714</v>
      </c>
      <c r="BZ7" s="96">
        <f>BX7/BW7*100</f>
        <v>106.66666666666667</v>
      </c>
      <c r="CA7" s="225">
        <f>BW7/B7</f>
        <v>2.3610892491736187E-4</v>
      </c>
      <c r="CB7" s="225">
        <f>BX7/C7</f>
        <v>2.4939599407684517E-4</v>
      </c>
      <c r="CC7" s="225"/>
      <c r="CD7" s="213">
        <v>5</v>
      </c>
      <c r="CE7" s="213">
        <v>5</v>
      </c>
      <c r="CF7" s="121"/>
      <c r="CG7" s="96"/>
      <c r="CH7" s="160"/>
      <c r="CI7" s="160"/>
      <c r="CJ7" s="121"/>
      <c r="CK7" s="213">
        <v>0</v>
      </c>
      <c r="CL7" s="213">
        <v>0</v>
      </c>
      <c r="CM7" s="121"/>
      <c r="CN7" s="121"/>
      <c r="CO7" s="150"/>
      <c r="CP7" s="121"/>
      <c r="CQ7" s="12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50">
        <v>3546.0709999999999</v>
      </c>
      <c r="DF7" s="251">
        <v>4210.1750000000002</v>
      </c>
      <c r="DG7" s="251">
        <f>DF7*1.47</f>
        <v>6188.9572500000004</v>
      </c>
      <c r="DH7" s="44">
        <v>102.56399491390199</v>
      </c>
      <c r="DI7" s="44">
        <v>109.05472785068824</v>
      </c>
      <c r="DJ7" s="44">
        <f t="shared" ref="DJ7:DJ18" si="3">(DE7*1000)/$B7</f>
        <v>55.81726743270896</v>
      </c>
      <c r="DK7" s="44">
        <f>(DF7*1000)/C7</f>
        <v>65.625048710155099</v>
      </c>
      <c r="DL7" s="249">
        <v>2308.1509999999998</v>
      </c>
      <c r="DM7" s="254">
        <v>3029.1689999999999</v>
      </c>
      <c r="DN7" s="44">
        <f t="shared" ref="DN7:DN17" si="4">DM7/DL7*100</f>
        <v>131.23790427922611</v>
      </c>
      <c r="DO7" s="44">
        <f>(DL7*1000)/$B7</f>
        <v>36.331670077128912</v>
      </c>
      <c r="DP7" s="44">
        <f>(DM7*1000)/C7</f>
        <v>47.216413373860185</v>
      </c>
      <c r="DQ7" s="178">
        <v>923.41700000000003</v>
      </c>
      <c r="DR7" s="251">
        <v>1477.222</v>
      </c>
      <c r="DS7" s="44">
        <f t="shared" ref="DS7:DS17" si="5">DR7/DQ7*100</f>
        <v>159.97344644943726</v>
      </c>
      <c r="DT7" s="44">
        <f>(DQ7*1000)/$B7</f>
        <v>14.535133008027703</v>
      </c>
      <c r="DU7" s="44">
        <f>(DR7*1000)/C7</f>
        <v>23.025828072636582</v>
      </c>
      <c r="DV7" s="250">
        <f>DL7-DQ7</f>
        <v>1384.7339999999999</v>
      </c>
      <c r="DW7" s="251">
        <f>DM7-DR7</f>
        <v>1551.9469999999999</v>
      </c>
      <c r="DX7" s="198">
        <f>DW7/$DW$18*100</f>
        <v>14.479556910427259</v>
      </c>
      <c r="DY7" s="198">
        <v>135.97</v>
      </c>
      <c r="DZ7" s="98">
        <f>DW7/DV7*100</f>
        <v>112.0754599800395</v>
      </c>
      <c r="EA7" s="44">
        <f t="shared" ref="EA7:EA17" si="6">(DV7*1000)/$B7</f>
        <v>21.796537069101213</v>
      </c>
      <c r="EB7" s="44">
        <f>(DW7*1000)/C7</f>
        <v>24.190585301223599</v>
      </c>
      <c r="EC7" s="194"/>
      <c r="ED7" s="154">
        <v>3136</v>
      </c>
      <c r="EE7" s="154">
        <v>2950</v>
      </c>
      <c r="EF7" s="198">
        <v>93.09</v>
      </c>
      <c r="EG7" s="98">
        <f>EE7/ED7*100</f>
        <v>94.068877551020407</v>
      </c>
      <c r="EH7" s="198">
        <f>ED7/B7*10000</f>
        <v>493.62505902723126</v>
      </c>
      <c r="EI7" s="198">
        <f>EE7/C7*10000</f>
        <v>459.82386407918324</v>
      </c>
      <c r="EJ7" s="117">
        <v>5500596.5</v>
      </c>
      <c r="EK7" s="98">
        <f>(7225484+4822349)</f>
        <v>12047833</v>
      </c>
      <c r="EL7" s="98">
        <f>6904989+2040467</f>
        <v>8945456</v>
      </c>
      <c r="EM7" s="98">
        <f>EL7/1000</f>
        <v>8945.4560000000001</v>
      </c>
      <c r="EN7" s="198">
        <v>77.8</v>
      </c>
      <c r="EO7" s="98">
        <f>EL7/EK7*100</f>
        <v>74.249501964378169</v>
      </c>
      <c r="EP7" s="198">
        <f>EK7/B7</f>
        <v>189.64005981426098</v>
      </c>
      <c r="EQ7" s="198">
        <f>EL7/C7</f>
        <v>139.43505572441742</v>
      </c>
      <c r="ER7" s="124">
        <v>2426.6999999999998</v>
      </c>
      <c r="ES7" s="343">
        <f>1961+228</f>
        <v>2189</v>
      </c>
      <c r="ET7" s="343">
        <f>1945+219</f>
        <v>2164</v>
      </c>
      <c r="EU7" s="198">
        <v>78.7</v>
      </c>
      <c r="EV7" s="44">
        <f t="shared" ref="EV7:EV17" si="7">ET7/ES7*100</f>
        <v>98.857925993604397</v>
      </c>
      <c r="EW7" s="45">
        <v>1083</v>
      </c>
      <c r="EX7" s="45">
        <v>914</v>
      </c>
      <c r="EY7" s="45">
        <v>827</v>
      </c>
      <c r="EZ7" s="198">
        <v>93.6</v>
      </c>
      <c r="FA7" s="98">
        <f>EY7/EX7*100</f>
        <v>90.481400437636765</v>
      </c>
      <c r="FB7" s="198">
        <f t="shared" ref="FB7:FB18" si="8">EX7/B7*1000</f>
        <v>14.386903824964584</v>
      </c>
      <c r="FC7" s="98">
        <f t="shared" ref="FC7:FC18" si="9">EY7/C7*1000</f>
        <v>12.890655443846933</v>
      </c>
      <c r="FD7" s="182">
        <v>54</v>
      </c>
      <c r="FE7" s="156">
        <v>61</v>
      </c>
      <c r="FF7" s="156">
        <v>70</v>
      </c>
      <c r="FG7" s="198">
        <v>91.3</v>
      </c>
      <c r="FH7" s="98">
        <f>FF7/FE7*100</f>
        <v>114.75409836065573</v>
      </c>
      <c r="FI7" s="198">
        <f t="shared" ref="FI7:FI18" si="10">FE7/B7*100000</f>
        <v>96.017629466393828</v>
      </c>
      <c r="FJ7" s="98">
        <f t="shared" ref="FJ7:FJ18" si="11">FF7/C7*100000</f>
        <v>109.11074740861974</v>
      </c>
      <c r="FK7" s="120"/>
      <c r="FL7" s="120"/>
      <c r="FM7" s="122"/>
      <c r="FN7" s="122"/>
      <c r="FO7" s="118"/>
      <c r="FP7" s="118"/>
      <c r="FQ7" s="184">
        <v>35026</v>
      </c>
      <c r="FR7" s="184">
        <v>37192</v>
      </c>
      <c r="FS7" s="184">
        <v>28275</v>
      </c>
      <c r="FT7" s="47">
        <f>FS7/$FS$18*100</f>
        <v>28.507047365555621</v>
      </c>
      <c r="FU7" s="198">
        <v>82.4</v>
      </c>
      <c r="FV7" s="98">
        <f>FS7/FR7*100</f>
        <v>76.024413852441384</v>
      </c>
      <c r="FW7" s="198">
        <f t="shared" ref="FW7:FW18" si="12">FR7/B7*1000</f>
        <v>585.42420903510151</v>
      </c>
      <c r="FX7" s="98">
        <f t="shared" ref="FX7:FX18" si="13">FS7/C7*1000</f>
        <v>440.72948328267478</v>
      </c>
      <c r="FY7" s="125"/>
      <c r="FZ7" s="125"/>
      <c r="GA7" s="125"/>
      <c r="GB7" s="188">
        <v>751290.3679999999</v>
      </c>
      <c r="GC7" s="201">
        <v>910096.85</v>
      </c>
      <c r="GD7" s="190">
        <v>973165.87000000011</v>
      </c>
      <c r="GE7" s="166">
        <f>GD7/1000</f>
        <v>973.16587000000015</v>
      </c>
      <c r="GF7" s="115">
        <f>GD7/GD18*100</f>
        <v>41.908877568463282</v>
      </c>
      <c r="GG7" s="202">
        <f>GC7/GB7*100</f>
        <v>121.13783016049528</v>
      </c>
      <c r="GH7" s="163">
        <f>GD7/GC7*100</f>
        <v>106.9299239965505</v>
      </c>
      <c r="GI7" s="48">
        <v>1.58</v>
      </c>
      <c r="GJ7" s="48">
        <v>1.46</v>
      </c>
      <c r="GK7" s="47">
        <f>GJ7/GI7*100</f>
        <v>92.405063291139228</v>
      </c>
      <c r="GL7" s="198">
        <v>0</v>
      </c>
      <c r="GM7" s="98">
        <v>94.6</v>
      </c>
      <c r="GN7" s="166"/>
      <c r="GO7" s="127"/>
      <c r="GP7" s="128"/>
      <c r="GQ7" s="129"/>
      <c r="GR7" s="128"/>
      <c r="GS7" s="130"/>
      <c r="GT7" s="198">
        <v>64.599999999999994</v>
      </c>
      <c r="GU7" s="98">
        <v>67.33</v>
      </c>
      <c r="GV7" s="166">
        <f>GU7/GT7*100</f>
        <v>104.22600619195046</v>
      </c>
      <c r="GW7" s="113"/>
      <c r="GX7" s="114"/>
      <c r="GY7" s="198">
        <v>9.1999999999999993</v>
      </c>
      <c r="GZ7" s="98">
        <v>5.3</v>
      </c>
      <c r="HA7" s="166">
        <v>57.608695652173914</v>
      </c>
      <c r="HB7" s="198">
        <f>[1]Город!$D13</f>
        <v>75.900000000000006</v>
      </c>
      <c r="HC7" s="198">
        <v>270.89999999999998</v>
      </c>
      <c r="HD7" s="198">
        <v>205.7</v>
      </c>
      <c r="HE7" s="98">
        <f>HD7/HC7*100</f>
        <v>75.932078257659654</v>
      </c>
      <c r="HF7" s="166"/>
      <c r="HG7" s="98">
        <v>7</v>
      </c>
      <c r="HH7" s="98"/>
    </row>
    <row r="8" spans="1:216" s="2" customFormat="1" ht="19.149999999999999" customHeight="1">
      <c r="A8" s="43" t="s">
        <v>35</v>
      </c>
      <c r="B8" s="145">
        <v>19248</v>
      </c>
      <c r="C8" s="145">
        <v>19462</v>
      </c>
      <c r="D8" s="98">
        <v>424352.7</v>
      </c>
      <c r="E8" s="98">
        <v>366178.89999999997</v>
      </c>
      <c r="F8" s="98">
        <v>1032084.8</v>
      </c>
      <c r="G8" s="44">
        <f t="shared" ref="G8:G17" si="14">F8/$F$18*100</f>
        <v>6.022957745198303</v>
      </c>
      <c r="H8" s="45">
        <f t="shared" ref="H8:H17" si="15">RANK(G8,$G$7:$G$17,0)</f>
        <v>3</v>
      </c>
      <c r="I8" s="198">
        <f t="shared" ref="I8:I18" si="16">E8/D8*100</f>
        <v>86.291167700829988</v>
      </c>
      <c r="J8" s="98">
        <f t="shared" ref="J8:J18" si="17">F8/E8*100</f>
        <v>281.85261357221844</v>
      </c>
      <c r="K8" s="45">
        <f t="shared" ref="K8:K17" si="18">RANK(J8,$J$7:$J$17,0)</f>
        <v>1</v>
      </c>
      <c r="L8" s="44">
        <f t="shared" ref="L8:M17" si="19">E8/B8</f>
        <v>19.024257065669158</v>
      </c>
      <c r="M8" s="44">
        <f>F8/C8</f>
        <v>53.030767649779058</v>
      </c>
      <c r="N8" s="45">
        <f t="shared" si="0"/>
        <v>5</v>
      </c>
      <c r="O8" s="275">
        <v>23228.400000000001</v>
      </c>
      <c r="P8" s="333">
        <v>28753.4</v>
      </c>
      <c r="Q8" s="333">
        <v>31981.1</v>
      </c>
      <c r="R8" s="277">
        <v>90.1</v>
      </c>
      <c r="S8" s="276">
        <v>99.3</v>
      </c>
      <c r="T8" s="267">
        <f t="shared" ref="T8:T18" si="20">P8/B8</f>
        <v>1.4938383208645054</v>
      </c>
      <c r="U8" s="98">
        <f t="shared" ref="U8:U18" si="21">Q8/C8</f>
        <v>1.6432586578974411</v>
      </c>
      <c r="V8" s="98">
        <v>1288468.3999999999</v>
      </c>
      <c r="W8" s="98">
        <v>1200.12160052544</v>
      </c>
      <c r="X8" s="98">
        <v>1284.1515999999999</v>
      </c>
      <c r="Y8" s="98">
        <v>102.7</v>
      </c>
      <c r="Z8" s="98">
        <v>102.2</v>
      </c>
      <c r="AA8" s="98">
        <f>W8*1000/B8</f>
        <v>62.350457217655858</v>
      </c>
      <c r="AB8" s="98">
        <f>X8*1000/C8</f>
        <v>65.982509505703419</v>
      </c>
      <c r="AC8" s="118"/>
      <c r="AD8" s="98">
        <v>1197.8149000000001</v>
      </c>
      <c r="AE8" s="98">
        <v>1223.5216</v>
      </c>
      <c r="AF8" s="98">
        <v>103.3</v>
      </c>
      <c r="AG8" s="98">
        <v>103.1</v>
      </c>
      <c r="AH8" s="158">
        <f t="shared" ref="AH8:AH18" si="22">AD8/B8*1000</f>
        <v>62.230616167913553</v>
      </c>
      <c r="AI8" s="98">
        <f>AE8*1000/C8</f>
        <v>62.867207892302957</v>
      </c>
      <c r="AJ8" s="118"/>
      <c r="AK8" s="98">
        <v>66.072100000000006</v>
      </c>
      <c r="AL8" s="98">
        <v>60.63</v>
      </c>
      <c r="AM8" s="44">
        <f t="shared" ref="AM8:AM17" si="23">AL8*1000/X8*100</f>
        <v>4721.4051674272732</v>
      </c>
      <c r="AN8" s="98">
        <v>93.2</v>
      </c>
      <c r="AO8" s="98">
        <v>87.6</v>
      </c>
      <c r="AP8" s="44">
        <f t="shared" si="1"/>
        <v>3.4326735245220283</v>
      </c>
      <c r="AQ8" s="98">
        <f t="shared" si="2"/>
        <v>3.1153016134004727</v>
      </c>
      <c r="AR8" s="118"/>
      <c r="AS8" s="44">
        <v>457.7</v>
      </c>
      <c r="AT8" s="44">
        <v>423.65999999999985</v>
      </c>
      <c r="AU8" s="44">
        <v>100.8</v>
      </c>
      <c r="AV8" s="44">
        <f>AT8/AS8*100</f>
        <v>92.562814070351735</v>
      </c>
      <c r="AW8" s="44">
        <f t="shared" ref="AW8:AW17" si="24">AS8/B8*1000</f>
        <v>23.779093931837075</v>
      </c>
      <c r="AX8" s="44">
        <f t="shared" ref="AX8:AX17" si="25">AT8/C8*1000</f>
        <v>21.768574658308491</v>
      </c>
      <c r="AY8" s="117"/>
      <c r="AZ8" s="44">
        <v>3132.83</v>
      </c>
      <c r="BA8" s="44">
        <v>3101.8999999999996</v>
      </c>
      <c r="BB8" s="44">
        <v>100.8</v>
      </c>
      <c r="BC8" s="98">
        <f t="shared" ref="BC8:BC18" si="26">BA8/AZ8*100</f>
        <v>99.012713744441911</v>
      </c>
      <c r="BD8" s="44">
        <f t="shared" ref="BD8:BD17" si="27">AZ8/$B8*1000</f>
        <v>162.76132585203658</v>
      </c>
      <c r="BE8" s="278">
        <f t="shared" ref="BE8:BE17" si="28">BA8/$C8*1000</f>
        <v>159.38238618846981</v>
      </c>
      <c r="BF8" s="279"/>
      <c r="BG8" s="44">
        <v>5585.28</v>
      </c>
      <c r="BH8" s="44">
        <v>5765.3250000000007</v>
      </c>
      <c r="BI8" s="44">
        <v>101.9</v>
      </c>
      <c r="BJ8" s="44">
        <f>BH8/BG8*100</f>
        <v>103.22356265039534</v>
      </c>
      <c r="BK8" s="44">
        <f t="shared" ref="BK8:BK17" si="29">BG8/$B8*1000</f>
        <v>290.17456359102243</v>
      </c>
      <c r="BL8" s="44">
        <f t="shared" ref="BL8:BL17" si="30">BH8/$C8*1000</f>
        <v>296.23497071215706</v>
      </c>
      <c r="BM8" s="280">
        <v>38285</v>
      </c>
      <c r="BN8" s="154">
        <v>39760</v>
      </c>
      <c r="BO8" s="154">
        <v>40539</v>
      </c>
      <c r="BP8" s="281">
        <f>BN8/BM8*100</f>
        <v>103.85268381872797</v>
      </c>
      <c r="BQ8" s="44">
        <f t="shared" ref="BQ8:BQ18" si="31">BO8/BN8*100</f>
        <v>101.9592555331992</v>
      </c>
      <c r="BR8" s="44">
        <f>BQ8-100</f>
        <v>1.9592555331991974</v>
      </c>
      <c r="BS8" s="44">
        <f>BO8-BN8</f>
        <v>779</v>
      </c>
      <c r="BT8" s="158">
        <f t="shared" ref="BT8:BT17" si="32">BN8/$B8</f>
        <v>2.0656691604322526</v>
      </c>
      <c r="BU8" s="158">
        <f t="shared" ref="BU8:BU17" si="33">BO8/$C8</f>
        <v>2.0829822217654916</v>
      </c>
      <c r="BV8" s="280">
        <v>233501</v>
      </c>
      <c r="BW8" s="154">
        <v>240291</v>
      </c>
      <c r="BX8" s="154">
        <v>249281</v>
      </c>
      <c r="BY8" s="281">
        <f t="shared" ref="BY8:BY18" si="34">BW8/BV8*100</f>
        <v>102.9079104586276</v>
      </c>
      <c r="BZ8" s="44">
        <f t="shared" ref="BZ8:BZ18" si="35">BX8/BW8*100</f>
        <v>103.74129701070784</v>
      </c>
      <c r="CA8" s="44">
        <f>BW8/B8</f>
        <v>12.4839463840399</v>
      </c>
      <c r="CB8" s="44">
        <f>BX8/C8</f>
        <v>12.808601377042441</v>
      </c>
      <c r="CC8" s="44"/>
      <c r="CD8" s="154">
        <v>8476</v>
      </c>
      <c r="CE8" s="154">
        <v>10630</v>
      </c>
      <c r="CF8" s="44">
        <v>115.5</v>
      </c>
      <c r="CG8" s="44">
        <f>CE8/CD8*100</f>
        <v>125.41293062765455</v>
      </c>
      <c r="CH8" s="158">
        <f t="shared" ref="CH8:CH17" si="36">CD8/$B8</f>
        <v>0.44035743973399832</v>
      </c>
      <c r="CI8" s="158">
        <f t="shared" ref="CI8:CI17" si="37">CE8/$C8</f>
        <v>0.54619258041311269</v>
      </c>
      <c r="CJ8" s="44">
        <f>'[1]К-Агач'!$D31</f>
        <v>28</v>
      </c>
      <c r="CK8" s="154">
        <v>17</v>
      </c>
      <c r="CL8" s="154">
        <v>17</v>
      </c>
      <c r="CM8" s="44">
        <v>60.7</v>
      </c>
      <c r="CN8" s="44">
        <f>CL8/CK8*100</f>
        <v>100</v>
      </c>
      <c r="CO8" s="158">
        <f>CK8/$B8*1000</f>
        <v>0.88320864505403163</v>
      </c>
      <c r="CP8" s="158">
        <f>CL8/$B8*1000</f>
        <v>0.88320864505403163</v>
      </c>
      <c r="CQ8" s="123"/>
      <c r="CR8" s="45">
        <f>'[1]К-Агач'!$D47*1000*1000</f>
        <v>0</v>
      </c>
      <c r="CS8" s="45">
        <f>'[1]К-Агач'!$F47*1000</f>
        <v>0</v>
      </c>
      <c r="CT8" s="44">
        <v>0</v>
      </c>
      <c r="CU8" s="44">
        <f>'[1]К-Агач'!$F46</f>
        <v>0</v>
      </c>
      <c r="CV8" s="282">
        <f>CR8/B8*1000</f>
        <v>0</v>
      </c>
      <c r="CW8" s="282">
        <f>CS8/C8*1000</f>
        <v>0</v>
      </c>
      <c r="CX8" s="123"/>
      <c r="CY8" s="44">
        <v>0</v>
      </c>
      <c r="CZ8" s="44">
        <f>'[1]К-Агач'!$F49*1000</f>
        <v>0</v>
      </c>
      <c r="DA8" s="44">
        <v>0</v>
      </c>
      <c r="DB8" s="44">
        <f>'[1]К-Агач'!$F48</f>
        <v>0</v>
      </c>
      <c r="DC8" s="48">
        <f>CY8/B8*1000</f>
        <v>0</v>
      </c>
      <c r="DD8" s="48">
        <f t="shared" ref="DD8:DD18" si="38">CZ8/C8*1000</f>
        <v>0</v>
      </c>
      <c r="DE8" s="250">
        <v>95.581000000000003</v>
      </c>
      <c r="DF8" s="251">
        <v>115.4032</v>
      </c>
      <c r="DG8" s="251">
        <f t="shared" ref="DG8:DG18" si="39">DF8*1.47</f>
        <v>169.64270399999998</v>
      </c>
      <c r="DH8" s="44">
        <v>105.03873400560033</v>
      </c>
      <c r="DI8" s="44">
        <v>110.90166301533066</v>
      </c>
      <c r="DJ8" s="44">
        <f t="shared" si="3"/>
        <v>4.9657626766417291</v>
      </c>
      <c r="DK8" s="44">
        <f t="shared" ref="DK8:DK18" si="40">(DF8*1000)/C8</f>
        <v>5.9296680711129381</v>
      </c>
      <c r="DL8" s="158">
        <v>86.335999999999999</v>
      </c>
      <c r="DM8" s="254">
        <v>109.369</v>
      </c>
      <c r="DN8" s="44">
        <f t="shared" si="4"/>
        <v>126.67832653817644</v>
      </c>
      <c r="DO8" s="44">
        <f t="shared" ref="DO8:DO18" si="41">(DL8*1000)/$B8</f>
        <v>4.4854530340814627</v>
      </c>
      <c r="DP8" s="44">
        <f t="shared" ref="DP8:DP18" si="42">(DM8*1000)/C8</f>
        <v>5.6196177165758918</v>
      </c>
      <c r="DQ8" s="178">
        <v>65.057000000000002</v>
      </c>
      <c r="DR8" s="251">
        <v>87.028999999999996</v>
      </c>
      <c r="DS8" s="44">
        <f t="shared" si="5"/>
        <v>133.77346019644312</v>
      </c>
      <c r="DT8" s="44">
        <f t="shared" ref="DT8:DT18" si="43">(DQ8*1000)/$B8</f>
        <v>3.3799355777223608</v>
      </c>
      <c r="DU8" s="44">
        <f t="shared" ref="DU8:DU18" si="44">(DR8*1000)/C8</f>
        <v>4.4717398006371392</v>
      </c>
      <c r="DV8" s="250">
        <f t="shared" ref="DV8:DV17" si="45">DL8-DQ8</f>
        <v>21.278999999999996</v>
      </c>
      <c r="DW8" s="251">
        <f t="shared" ref="DW8:DW18" si="46">DM8-DR8</f>
        <v>22.340000000000003</v>
      </c>
      <c r="DX8" s="198">
        <f t="shared" ref="DX8:DX17" si="47">DW8/$DW$18*100</f>
        <v>0.20843063672853845</v>
      </c>
      <c r="DY8" s="198">
        <v>64.3</v>
      </c>
      <c r="DZ8" s="98">
        <f t="shared" ref="DZ8:DZ18" si="48">DW8/DV8*100</f>
        <v>104.98613656656801</v>
      </c>
      <c r="EA8" s="44">
        <f t="shared" si="6"/>
        <v>1.1055174563591021</v>
      </c>
      <c r="EB8" s="44">
        <f t="shared" ref="EB8:EB18" si="49">(DW8*1000)/C8</f>
        <v>1.1478779159387527</v>
      </c>
      <c r="EC8" s="194"/>
      <c r="ED8" s="154">
        <v>697</v>
      </c>
      <c r="EE8" s="154">
        <v>673</v>
      </c>
      <c r="EF8" s="98">
        <v>85.3</v>
      </c>
      <c r="EG8" s="98">
        <f>EE8/ED8*100</f>
        <v>96.556671449067437</v>
      </c>
      <c r="EH8" s="198">
        <f t="shared" ref="EH8:EH18" si="50">ED8/B8*10000</f>
        <v>362.11554447215292</v>
      </c>
      <c r="EI8" s="198">
        <f t="shared" ref="EI8:EI18" si="51">EE8/C8*10000</f>
        <v>345.80207584009861</v>
      </c>
      <c r="EJ8" s="117">
        <v>31007.5</v>
      </c>
      <c r="EK8" s="98">
        <f>4170+710</f>
        <v>4880</v>
      </c>
      <c r="EL8" s="98">
        <f>0</f>
        <v>0</v>
      </c>
      <c r="EM8" s="98">
        <f t="shared" ref="EM8:EM18" si="52">EL8/1000</f>
        <v>0</v>
      </c>
      <c r="EN8" s="98">
        <v>0</v>
      </c>
      <c r="EO8" s="98">
        <v>0</v>
      </c>
      <c r="EP8" s="198">
        <f t="shared" ref="EP8:EP18" si="53">EK8/B8</f>
        <v>0.25353283458021614</v>
      </c>
      <c r="EQ8" s="198">
        <f t="shared" ref="EQ8:EQ18" si="54">EL8/C8</f>
        <v>0</v>
      </c>
      <c r="ER8" s="124">
        <v>18</v>
      </c>
      <c r="ES8" s="154">
        <v>28</v>
      </c>
      <c r="ET8" s="154">
        <v>0</v>
      </c>
      <c r="EU8" s="98">
        <v>0</v>
      </c>
      <c r="EV8" s="44">
        <v>0</v>
      </c>
      <c r="EW8" s="45">
        <v>482</v>
      </c>
      <c r="EX8" s="227">
        <v>438</v>
      </c>
      <c r="EY8" s="344">
        <v>409</v>
      </c>
      <c r="EZ8" s="98">
        <v>96.2</v>
      </c>
      <c r="FA8" s="98">
        <f t="shared" ref="FA8:FA18" si="55">EY8/EX8*100</f>
        <v>93.378995433789953</v>
      </c>
      <c r="FB8" s="198">
        <f t="shared" si="8"/>
        <v>22.755610972568579</v>
      </c>
      <c r="FC8" s="98">
        <f t="shared" si="9"/>
        <v>21.015311889836607</v>
      </c>
      <c r="FD8" s="182">
        <v>30</v>
      </c>
      <c r="FE8" s="229">
        <v>24</v>
      </c>
      <c r="FF8" s="344">
        <v>29</v>
      </c>
      <c r="FG8" s="98">
        <v>126.3</v>
      </c>
      <c r="FH8" s="98">
        <f t="shared" ref="FH8:FH18" si="56">FF8/FE8*100</f>
        <v>120.83333333333333</v>
      </c>
      <c r="FI8" s="198">
        <f t="shared" si="10"/>
        <v>124.68827930174564</v>
      </c>
      <c r="FJ8" s="98">
        <f t="shared" si="11"/>
        <v>149.00832391326688</v>
      </c>
      <c r="FK8" s="120"/>
      <c r="FL8" s="120"/>
      <c r="FM8" s="118"/>
      <c r="FN8" s="122"/>
      <c r="FO8" s="118"/>
      <c r="FP8" s="118"/>
      <c r="FQ8" s="283">
        <v>11867</v>
      </c>
      <c r="FR8" s="184">
        <v>6591</v>
      </c>
      <c r="FS8" s="231">
        <v>12018</v>
      </c>
      <c r="FT8" s="47">
        <f t="shared" ref="FT8:FT17" si="57">FS8/$FS$18*100</f>
        <v>12.11662936301494</v>
      </c>
      <c r="FU8" s="98">
        <v>71.8</v>
      </c>
      <c r="FV8" s="98">
        <f t="shared" ref="FV8:FV18" si="58">FS8/FR8*100</f>
        <v>182.33955393718708</v>
      </c>
      <c r="FW8" s="198">
        <f t="shared" si="12"/>
        <v>342.42518703241899</v>
      </c>
      <c r="FX8" s="98">
        <f t="shared" si="13"/>
        <v>617.51104716884186</v>
      </c>
      <c r="FY8" s="125"/>
      <c r="FZ8" s="125"/>
      <c r="GA8" s="125"/>
      <c r="GB8" s="188">
        <v>101317.25009</v>
      </c>
      <c r="GC8" s="284">
        <v>117707.67000000001</v>
      </c>
      <c r="GD8" s="188">
        <v>141476.49</v>
      </c>
      <c r="GE8" s="47">
        <f t="shared" ref="GE8:GE17" si="59">GD8/1000</f>
        <v>141.47648999999998</v>
      </c>
      <c r="GF8" s="47">
        <f>GD8/$GD$18*100</f>
        <v>6.0926108087061444</v>
      </c>
      <c r="GG8" s="198">
        <f t="shared" ref="GG8:GG18" si="60">GC8/GB8*100</f>
        <v>116.17732409381465</v>
      </c>
      <c r="GH8" s="98">
        <f t="shared" ref="GH8:GH18" si="61">GD8/GC8*100</f>
        <v>120.19309361913287</v>
      </c>
      <c r="GI8" s="48">
        <v>3.28</v>
      </c>
      <c r="GJ8" s="48">
        <v>2.78</v>
      </c>
      <c r="GK8" s="47">
        <f t="shared" ref="GK8:GK18" si="62">GJ8/GI8*100</f>
        <v>84.756097560975604</v>
      </c>
      <c r="GL8" s="98">
        <v>100</v>
      </c>
      <c r="GM8" s="98">
        <v>100</v>
      </c>
      <c r="GN8" s="47"/>
      <c r="GO8" s="285"/>
      <c r="GP8" s="286"/>
      <c r="GQ8" s="287"/>
      <c r="GR8" s="286"/>
      <c r="GS8" s="288"/>
      <c r="GT8" s="98">
        <v>77.602000000000004</v>
      </c>
      <c r="GU8" s="98">
        <v>78</v>
      </c>
      <c r="GV8" s="47">
        <f t="shared" ref="GV8:GV18" si="63">GU8/GT8*100</f>
        <v>100.51287337955206</v>
      </c>
      <c r="GW8" s="45"/>
      <c r="GX8" s="158"/>
      <c r="GY8" s="98">
        <v>2</v>
      </c>
      <c r="GZ8" s="98">
        <v>2.9</v>
      </c>
      <c r="HA8" s="47">
        <v>145</v>
      </c>
      <c r="HB8" s="98">
        <f>'[1]К-Агач'!$D13</f>
        <v>38.200000000000003</v>
      </c>
      <c r="HC8" s="98">
        <v>335.9</v>
      </c>
      <c r="HD8" s="98">
        <v>128.30000000000001</v>
      </c>
      <c r="HE8" s="98">
        <f>HD8/HC8*100</f>
        <v>38.195891634415005</v>
      </c>
      <c r="HF8" s="47"/>
      <c r="HG8" s="98">
        <v>7</v>
      </c>
      <c r="HH8" s="98"/>
    </row>
    <row r="9" spans="1:216" ht="21" customHeight="1">
      <c r="A9" s="49" t="s">
        <v>36</v>
      </c>
      <c r="B9" s="145">
        <v>34090</v>
      </c>
      <c r="C9" s="145">
        <v>34406</v>
      </c>
      <c r="D9" s="100">
        <v>2336271.1</v>
      </c>
      <c r="E9" s="101">
        <v>3296148</v>
      </c>
      <c r="F9" s="101">
        <v>2929671.6</v>
      </c>
      <c r="G9" s="44">
        <f t="shared" si="14"/>
        <v>17.096742684426228</v>
      </c>
      <c r="H9" s="45">
        <f t="shared" si="15"/>
        <v>2</v>
      </c>
      <c r="I9" s="198">
        <f t="shared" si="16"/>
        <v>141.08585257935175</v>
      </c>
      <c r="J9" s="98">
        <f t="shared" si="17"/>
        <v>88.881676429577809</v>
      </c>
      <c r="K9" s="148">
        <f t="shared" si="18"/>
        <v>9</v>
      </c>
      <c r="L9" s="44">
        <f t="shared" si="19"/>
        <v>96.689586388970369</v>
      </c>
      <c r="M9" s="46">
        <f t="shared" si="19"/>
        <v>85.15002034528861</v>
      </c>
      <c r="N9" s="148">
        <f t="shared" si="0"/>
        <v>2</v>
      </c>
      <c r="O9" s="232">
        <v>1419839.2</v>
      </c>
      <c r="P9" s="334">
        <v>1377717.7</v>
      </c>
      <c r="Q9" s="334">
        <v>838041</v>
      </c>
      <c r="R9" s="265">
        <v>106.1</v>
      </c>
      <c r="S9" s="228">
        <v>87.1</v>
      </c>
      <c r="T9" s="267">
        <f t="shared" si="20"/>
        <v>40.41413024347316</v>
      </c>
      <c r="U9" s="98">
        <f t="shared" si="21"/>
        <v>24.357408591524734</v>
      </c>
      <c r="V9" s="100">
        <v>527480.45120108908</v>
      </c>
      <c r="W9" s="100">
        <v>514.79024572857395</v>
      </c>
      <c r="X9" s="100">
        <v>536.2731</v>
      </c>
      <c r="Y9" s="100">
        <v>101.8</v>
      </c>
      <c r="Z9" s="100">
        <v>98.7</v>
      </c>
      <c r="AA9" s="98">
        <f t="shared" ref="AA9:AA18" si="64">W9*1000/B9</f>
        <v>15.100916565813257</v>
      </c>
      <c r="AB9" s="98">
        <f t="shared" ref="AB9:AB18" si="65">X9*1000/C9</f>
        <v>15.586615706562808</v>
      </c>
      <c r="AC9" s="119"/>
      <c r="AD9" s="100">
        <v>287.209</v>
      </c>
      <c r="AE9" s="100">
        <v>297.59629999999999</v>
      </c>
      <c r="AF9" s="100">
        <v>103.6</v>
      </c>
      <c r="AG9" s="100">
        <v>99.7</v>
      </c>
      <c r="AH9" s="158">
        <f t="shared" si="22"/>
        <v>8.4250220005866829</v>
      </c>
      <c r="AI9" s="98">
        <f t="shared" ref="AI9:AI18" si="66">AE9*1000/C9</f>
        <v>8.6495465907109228</v>
      </c>
      <c r="AJ9" s="119"/>
      <c r="AK9" s="100">
        <v>275.90179999999998</v>
      </c>
      <c r="AL9" s="100">
        <v>238.67679999999999</v>
      </c>
      <c r="AM9" s="164">
        <f t="shared" si="23"/>
        <v>44506.576966101784</v>
      </c>
      <c r="AN9" s="100">
        <v>100.1</v>
      </c>
      <c r="AO9" s="100">
        <v>97.5</v>
      </c>
      <c r="AP9" s="44">
        <f t="shared" si="1"/>
        <v>8.0933352889410379</v>
      </c>
      <c r="AQ9" s="98">
        <f t="shared" si="2"/>
        <v>6.9370691158518856</v>
      </c>
      <c r="AR9" s="119"/>
      <c r="AS9" s="46">
        <v>2174.8000000000002</v>
      </c>
      <c r="AT9" s="46">
        <v>2068.0860000000002</v>
      </c>
      <c r="AU9" s="46">
        <v>120.3</v>
      </c>
      <c r="AV9" s="46">
        <f t="shared" ref="AV9:AV18" si="67">AT9/AS9*100</f>
        <v>95.093157991539456</v>
      </c>
      <c r="AW9" s="46">
        <f t="shared" si="24"/>
        <v>63.795834555588158</v>
      </c>
      <c r="AX9" s="46">
        <f t="shared" si="25"/>
        <v>60.108295064814286</v>
      </c>
      <c r="AY9" s="117"/>
      <c r="AZ9" s="46">
        <v>4953.1610000000001</v>
      </c>
      <c r="BA9" s="46">
        <v>4518.0360000000001</v>
      </c>
      <c r="BB9" s="46">
        <v>114.7</v>
      </c>
      <c r="BC9" s="99">
        <f t="shared" si="26"/>
        <v>91.215205804939515</v>
      </c>
      <c r="BD9" s="44">
        <f t="shared" si="27"/>
        <v>145.29659724259315</v>
      </c>
      <c r="BE9" s="147">
        <f t="shared" si="28"/>
        <v>131.31535197349299</v>
      </c>
      <c r="BF9" s="135"/>
      <c r="BG9" s="46">
        <v>755.2299999999999</v>
      </c>
      <c r="BH9" s="46">
        <v>675.59750000000008</v>
      </c>
      <c r="BI9" s="46">
        <v>94.8</v>
      </c>
      <c r="BJ9" s="46">
        <f t="shared" ref="BJ9:BJ18" si="68">BH9/BG9*100</f>
        <v>89.455861128397999</v>
      </c>
      <c r="BK9" s="44">
        <f t="shared" si="29"/>
        <v>22.154004106776181</v>
      </c>
      <c r="BL9" s="44">
        <f t="shared" si="30"/>
        <v>19.636037319072258</v>
      </c>
      <c r="BM9" s="221">
        <v>3992</v>
      </c>
      <c r="BN9" s="175">
        <v>4061</v>
      </c>
      <c r="BO9" s="175">
        <v>3865</v>
      </c>
      <c r="BP9" s="224">
        <f t="shared" ref="BP9:BP18" si="69">BN9/BM9*100</f>
        <v>101.72845691382766</v>
      </c>
      <c r="BQ9" s="96">
        <f t="shared" si="31"/>
        <v>95.173602560945582</v>
      </c>
      <c r="BR9" s="44">
        <f t="shared" ref="BR9:BR17" si="70">BQ9-100</f>
        <v>-4.8263974390544178</v>
      </c>
      <c r="BS9" s="44">
        <f t="shared" ref="BS9:BS17" si="71">BO9-BN9</f>
        <v>-196</v>
      </c>
      <c r="BT9" s="158">
        <f t="shared" si="32"/>
        <v>0.11912584335582282</v>
      </c>
      <c r="BU9" s="158">
        <f t="shared" si="33"/>
        <v>0.11233505783874906</v>
      </c>
      <c r="BV9" s="221">
        <v>1018</v>
      </c>
      <c r="BW9" s="175">
        <v>913</v>
      </c>
      <c r="BX9" s="175">
        <v>1137</v>
      </c>
      <c r="BY9" s="224">
        <f t="shared" si="34"/>
        <v>89.685658153241661</v>
      </c>
      <c r="BZ9" s="96">
        <f t="shared" si="35"/>
        <v>124.53450164293538</v>
      </c>
      <c r="CA9" s="44">
        <f t="shared" ref="CA9:CB17" si="72">BW9/B9</f>
        <v>2.6782047521267234E-2</v>
      </c>
      <c r="CB9" s="44">
        <f t="shared" si="72"/>
        <v>3.3046561646224493E-2</v>
      </c>
      <c r="CC9" s="44"/>
      <c r="CD9" s="175">
        <v>1075</v>
      </c>
      <c r="CE9" s="175">
        <v>1327</v>
      </c>
      <c r="CF9" s="46">
        <v>105.1</v>
      </c>
      <c r="CG9" s="46">
        <f t="shared" ref="CG9:CG18" si="73">CE9/CD9*100</f>
        <v>123.44186046511626</v>
      </c>
      <c r="CH9" s="158">
        <f t="shared" si="36"/>
        <v>3.1534174244646523E-2</v>
      </c>
      <c r="CI9" s="158">
        <f t="shared" si="37"/>
        <v>3.8568854269604137E-2</v>
      </c>
      <c r="CJ9" s="46">
        <f>[1]Майма!$D31</f>
        <v>2265</v>
      </c>
      <c r="CK9" s="175">
        <v>2503</v>
      </c>
      <c r="CL9" s="175">
        <v>2666</v>
      </c>
      <c r="CM9" s="46">
        <v>110.5</v>
      </c>
      <c r="CN9" s="46">
        <f t="shared" ref="CN9:CN18" si="74">CL9/CK9*100</f>
        <v>106.51218537754694</v>
      </c>
      <c r="CO9" s="158">
        <f t="shared" ref="CO9:CO18" si="75">CK9/$B9*1000</f>
        <v>73.423291287767668</v>
      </c>
      <c r="CP9" s="158">
        <f t="shared" ref="CP9:CP18" si="76">CL9/$B9*1000</f>
        <v>78.204752126723378</v>
      </c>
      <c r="CQ9" s="134"/>
      <c r="CR9" s="148">
        <f>91.1+123</f>
        <v>214.1</v>
      </c>
      <c r="CS9" s="148">
        <v>217</v>
      </c>
      <c r="CT9" s="46">
        <v>82.3</v>
      </c>
      <c r="CU9" s="46">
        <f>CS9/CR9*100</f>
        <v>101.35450723960766</v>
      </c>
      <c r="CV9" s="193">
        <f t="shared" ref="CV9:CV17" si="77">CR9/B9*1000</f>
        <v>6.2804341449105312</v>
      </c>
      <c r="CW9" s="193">
        <f t="shared" ref="CW9:CW18" si="78">CS9/C9*1000</f>
        <v>6.3070394698599079</v>
      </c>
      <c r="CX9" s="134"/>
      <c r="CY9" s="46">
        <v>250.5</v>
      </c>
      <c r="CZ9" s="46">
        <v>224.7</v>
      </c>
      <c r="DA9" s="46">
        <v>101.7</v>
      </c>
      <c r="DB9" s="46">
        <f>CZ9/CY9*100</f>
        <v>89.700598802395206</v>
      </c>
      <c r="DC9" s="50">
        <f t="shared" ref="DC9:DC18" si="79">CY9/B9*1000</f>
        <v>7.3481959518920501</v>
      </c>
      <c r="DD9" s="50">
        <f t="shared" si="38"/>
        <v>6.5308376445968728</v>
      </c>
      <c r="DE9" s="258">
        <v>3818.8310000000001</v>
      </c>
      <c r="DF9" s="259">
        <v>3944.4924000000001</v>
      </c>
      <c r="DG9" s="251">
        <f t="shared" si="39"/>
        <v>5798.4038280000004</v>
      </c>
      <c r="DH9" s="46">
        <v>101.69866287844032</v>
      </c>
      <c r="DI9" s="44">
        <v>94.875146899147609</v>
      </c>
      <c r="DJ9" s="44">
        <f t="shared" si="3"/>
        <v>112.02202992079789</v>
      </c>
      <c r="DK9" s="44">
        <f t="shared" si="40"/>
        <v>114.64548043945823</v>
      </c>
      <c r="DL9" s="255">
        <v>3420.7280000000001</v>
      </c>
      <c r="DM9" s="256">
        <v>3630.0819999999999</v>
      </c>
      <c r="DN9" s="44">
        <f t="shared" si="4"/>
        <v>106.12015921757005</v>
      </c>
      <c r="DO9" s="44">
        <f t="shared" si="41"/>
        <v>100.3440305074802</v>
      </c>
      <c r="DP9" s="44">
        <f t="shared" si="42"/>
        <v>105.50723710980643</v>
      </c>
      <c r="DQ9" s="180">
        <v>1265.645</v>
      </c>
      <c r="DR9" s="261">
        <v>645.38300000000004</v>
      </c>
      <c r="DS9" s="44">
        <f t="shared" si="5"/>
        <v>50.992418885232439</v>
      </c>
      <c r="DT9" s="44">
        <f t="shared" si="43"/>
        <v>37.126576708712236</v>
      </c>
      <c r="DU9" s="44">
        <f t="shared" si="44"/>
        <v>18.757862000813812</v>
      </c>
      <c r="DV9" s="250">
        <f t="shared" si="45"/>
        <v>2155.0830000000001</v>
      </c>
      <c r="DW9" s="251">
        <f t="shared" si="46"/>
        <v>2984.6989999999996</v>
      </c>
      <c r="DX9" s="198">
        <f t="shared" si="47"/>
        <v>27.847032811684503</v>
      </c>
      <c r="DY9" s="198">
        <v>80.900000000000006</v>
      </c>
      <c r="DZ9" s="98">
        <f t="shared" si="48"/>
        <v>138.49577951290041</v>
      </c>
      <c r="EA9" s="44">
        <f t="shared" si="6"/>
        <v>63.21745379876797</v>
      </c>
      <c r="EB9" s="44">
        <f t="shared" si="49"/>
        <v>86.749375108992609</v>
      </c>
      <c r="EC9" s="151"/>
      <c r="ED9" s="154">
        <v>1340</v>
      </c>
      <c r="EE9" s="154">
        <v>1331</v>
      </c>
      <c r="EF9" s="100">
        <v>98.9</v>
      </c>
      <c r="EG9" s="98">
        <f>EE9/ED9*100</f>
        <v>99.328358208955223</v>
      </c>
      <c r="EH9" s="198">
        <f t="shared" si="50"/>
        <v>393.07714872396599</v>
      </c>
      <c r="EI9" s="198">
        <f t="shared" si="51"/>
        <v>386.85113061675293</v>
      </c>
      <c r="EJ9" s="131">
        <v>1300416</v>
      </c>
      <c r="EK9" s="98">
        <f>891236+814823</f>
        <v>1706059</v>
      </c>
      <c r="EL9" s="98">
        <f>770492+446003</f>
        <v>1216495</v>
      </c>
      <c r="EM9" s="98">
        <f t="shared" si="52"/>
        <v>1216.4949999999999</v>
      </c>
      <c r="EN9" s="98">
        <v>114.68</v>
      </c>
      <c r="EO9" s="98">
        <f t="shared" ref="EO9:EO17" si="80">EL9/EK9*100</f>
        <v>71.304392169321233</v>
      </c>
      <c r="EP9" s="198">
        <f t="shared" si="53"/>
        <v>50.045731886183631</v>
      </c>
      <c r="EQ9" s="198">
        <f t="shared" si="54"/>
        <v>35.357059815148517</v>
      </c>
      <c r="ER9" s="124">
        <v>1097.5999999999999</v>
      </c>
      <c r="ES9" s="154">
        <v>937</v>
      </c>
      <c r="ET9" s="154">
        <v>767</v>
      </c>
      <c r="EU9" s="100">
        <v>94.7</v>
      </c>
      <c r="EV9" s="44">
        <f t="shared" si="7"/>
        <v>81.856990394877272</v>
      </c>
      <c r="EW9" s="148">
        <v>444</v>
      </c>
      <c r="EX9" s="227">
        <v>413</v>
      </c>
      <c r="EY9" s="345">
        <v>320</v>
      </c>
      <c r="EZ9" s="100">
        <v>101.7</v>
      </c>
      <c r="FA9" s="98">
        <f t="shared" si="55"/>
        <v>77.481840193704599</v>
      </c>
      <c r="FB9" s="198">
        <f t="shared" si="8"/>
        <v>12.114989733059549</v>
      </c>
      <c r="FC9" s="98">
        <v>9.5</v>
      </c>
      <c r="FD9" s="182">
        <v>39</v>
      </c>
      <c r="FE9" s="229">
        <v>30</v>
      </c>
      <c r="FF9" s="345">
        <v>27</v>
      </c>
      <c r="FG9" s="100">
        <v>96.7</v>
      </c>
      <c r="FH9" s="98">
        <f t="shared" si="56"/>
        <v>90</v>
      </c>
      <c r="FI9" s="198">
        <f t="shared" si="10"/>
        <v>88.002346729246113</v>
      </c>
      <c r="FJ9" s="98">
        <f t="shared" si="11"/>
        <v>78.474684648026496</v>
      </c>
      <c r="FK9" s="120"/>
      <c r="FL9" s="120"/>
      <c r="FM9" s="118"/>
      <c r="FN9" s="132"/>
      <c r="FO9" s="118"/>
      <c r="FP9" s="118"/>
      <c r="FQ9" s="185">
        <v>38425</v>
      </c>
      <c r="FR9" s="184">
        <v>26926</v>
      </c>
      <c r="FS9" s="231">
        <v>15549</v>
      </c>
      <c r="FT9" s="47">
        <f t="shared" si="57"/>
        <v>15.676607585747989</v>
      </c>
      <c r="FU9" s="100">
        <v>85.2</v>
      </c>
      <c r="FV9" s="98">
        <f t="shared" si="58"/>
        <v>57.747158879893036</v>
      </c>
      <c r="FW9" s="198">
        <f t="shared" si="12"/>
        <v>789.8503960105603</v>
      </c>
      <c r="FX9" s="98">
        <f t="shared" si="13"/>
        <v>451.92698947857934</v>
      </c>
      <c r="FY9" s="133"/>
      <c r="FZ9" s="133"/>
      <c r="GA9" s="133"/>
      <c r="GB9" s="189">
        <v>277774.00960000005</v>
      </c>
      <c r="GC9" s="201">
        <v>314513.69</v>
      </c>
      <c r="GD9" s="190">
        <v>372012.02999999997</v>
      </c>
      <c r="GE9" s="166">
        <f t="shared" si="59"/>
        <v>372.01202999999998</v>
      </c>
      <c r="GF9" s="166">
        <f>GD9/$GD$18*100</f>
        <v>16.020502876108353</v>
      </c>
      <c r="GG9" s="202">
        <f t="shared" si="60"/>
        <v>113.22646436680877</v>
      </c>
      <c r="GH9" s="163">
        <f t="shared" si="61"/>
        <v>118.28166525914976</v>
      </c>
      <c r="GI9" s="48">
        <v>1.21</v>
      </c>
      <c r="GJ9" s="50">
        <v>1.25</v>
      </c>
      <c r="GK9" s="47">
        <f t="shared" si="62"/>
        <v>103.30578512396696</v>
      </c>
      <c r="GL9" s="100">
        <v>0</v>
      </c>
      <c r="GM9" s="100">
        <v>92</v>
      </c>
      <c r="GN9" s="166"/>
      <c r="GO9" s="127"/>
      <c r="GP9" s="128"/>
      <c r="GQ9" s="129"/>
      <c r="GR9" s="128"/>
      <c r="GS9" s="130"/>
      <c r="GT9" s="100">
        <v>82.806074027206577</v>
      </c>
      <c r="GU9" s="100">
        <v>81</v>
      </c>
      <c r="GV9" s="166">
        <f t="shared" si="63"/>
        <v>97.8189111747851</v>
      </c>
      <c r="GW9" s="113"/>
      <c r="GX9" s="114"/>
      <c r="GY9" s="100">
        <v>10.199999999999999</v>
      </c>
      <c r="GZ9" s="100">
        <v>11</v>
      </c>
      <c r="HA9" s="166">
        <v>107.84313725490198</v>
      </c>
      <c r="HB9" s="100">
        <f>[1]Майма!$D13</f>
        <v>49.3</v>
      </c>
      <c r="HC9" s="100">
        <v>289.89999999999998</v>
      </c>
      <c r="HD9" s="100">
        <v>151.1</v>
      </c>
      <c r="HE9" s="98">
        <f t="shared" ref="HE9:HE18" si="81">HD9/HC9*100</f>
        <v>52.121421179717146</v>
      </c>
      <c r="HF9" s="166"/>
      <c r="HG9" s="100">
        <v>6</v>
      </c>
      <c r="HH9" s="100"/>
    </row>
    <row r="10" spans="1:216" ht="21.6" customHeight="1">
      <c r="A10" s="49" t="s">
        <v>37</v>
      </c>
      <c r="B10" s="145">
        <v>14273</v>
      </c>
      <c r="C10" s="145">
        <v>14188</v>
      </c>
      <c r="D10" s="100">
        <v>856915.9</v>
      </c>
      <c r="E10" s="337">
        <v>1490978.1</v>
      </c>
      <c r="F10" s="337">
        <v>979997.5</v>
      </c>
      <c r="G10" s="44">
        <f t="shared" si="14"/>
        <v>5.7189908551118807</v>
      </c>
      <c r="H10" s="45">
        <f t="shared" si="15"/>
        <v>4</v>
      </c>
      <c r="I10" s="198">
        <f t="shared" si="16"/>
        <v>173.99351558303445</v>
      </c>
      <c r="J10" s="336">
        <f t="shared" si="17"/>
        <v>65.728497286445716</v>
      </c>
      <c r="K10" s="148">
        <f t="shared" si="18"/>
        <v>11</v>
      </c>
      <c r="L10" s="44">
        <f t="shared" si="19"/>
        <v>104.4614376795348</v>
      </c>
      <c r="M10" s="46">
        <f t="shared" si="19"/>
        <v>69.072279391034684</v>
      </c>
      <c r="N10" s="148">
        <f t="shared" si="0"/>
        <v>3</v>
      </c>
      <c r="O10" s="232">
        <v>85595.9</v>
      </c>
      <c r="P10" s="334">
        <v>93245.2</v>
      </c>
      <c r="Q10" s="334">
        <v>105100.6</v>
      </c>
      <c r="R10" s="265">
        <v>200.9</v>
      </c>
      <c r="S10" s="228">
        <v>53.5</v>
      </c>
      <c r="T10" s="267">
        <f t="shared" si="20"/>
        <v>6.5329783507321517</v>
      </c>
      <c r="U10" s="98">
        <f t="shared" si="21"/>
        <v>7.407710741471667</v>
      </c>
      <c r="V10" s="100">
        <v>1672105.922113067</v>
      </c>
      <c r="W10" s="100">
        <v>1477.6371483865701</v>
      </c>
      <c r="X10" s="100">
        <v>1574.0225</v>
      </c>
      <c r="Y10" s="100">
        <v>99.9</v>
      </c>
      <c r="Z10" s="100">
        <v>101.1</v>
      </c>
      <c r="AA10" s="98">
        <f t="shared" si="64"/>
        <v>103.5267391849345</v>
      </c>
      <c r="AB10" s="98">
        <f t="shared" si="65"/>
        <v>110.94040738652382</v>
      </c>
      <c r="AC10" s="119"/>
      <c r="AD10" s="100">
        <v>1313.5689</v>
      </c>
      <c r="AE10" s="100">
        <v>1288.6573000000001</v>
      </c>
      <c r="AF10" s="100">
        <v>101.4</v>
      </c>
      <c r="AG10" s="100">
        <v>98.1</v>
      </c>
      <c r="AH10" s="158">
        <f t="shared" si="22"/>
        <v>92.031731240804319</v>
      </c>
      <c r="AI10" s="98">
        <f t="shared" si="66"/>
        <v>90.82726952354102</v>
      </c>
      <c r="AJ10" s="119"/>
      <c r="AK10" s="100">
        <v>247.60380000000001</v>
      </c>
      <c r="AL10" s="100">
        <v>285.36520000000002</v>
      </c>
      <c r="AM10" s="164">
        <f t="shared" si="23"/>
        <v>18129.677307662372</v>
      </c>
      <c r="AN10" s="100">
        <v>92.6</v>
      </c>
      <c r="AO10" s="100">
        <v>117.5</v>
      </c>
      <c r="AP10" s="44">
        <f t="shared" si="1"/>
        <v>17.347705457857494</v>
      </c>
      <c r="AQ10" s="98">
        <f t="shared" si="2"/>
        <v>20.113137862982803</v>
      </c>
      <c r="AR10" s="119"/>
      <c r="AS10" s="46">
        <v>171.2</v>
      </c>
      <c r="AT10" s="46">
        <v>255.02000000000044</v>
      </c>
      <c r="AU10" s="46">
        <v>102.2</v>
      </c>
      <c r="AV10" s="46">
        <f t="shared" si="67"/>
        <v>148.96028037383203</v>
      </c>
      <c r="AW10" s="46">
        <f t="shared" si="24"/>
        <v>11.994675260982273</v>
      </c>
      <c r="AX10" s="46">
        <f t="shared" si="25"/>
        <v>17.974344516492842</v>
      </c>
      <c r="AY10" s="117">
        <v>4319.6077999999998</v>
      </c>
      <c r="AZ10" s="46">
        <v>6715.19</v>
      </c>
      <c r="BA10" s="46">
        <v>6839.42</v>
      </c>
      <c r="BB10" s="46">
        <v>103.9</v>
      </c>
      <c r="BC10" s="99">
        <f t="shared" si="26"/>
        <v>101.84998488501442</v>
      </c>
      <c r="BD10" s="44">
        <f t="shared" si="27"/>
        <v>470.48202900581515</v>
      </c>
      <c r="BE10" s="147">
        <f t="shared" si="28"/>
        <v>482.05666760642794</v>
      </c>
      <c r="BF10" s="136"/>
      <c r="BG10" s="46">
        <v>5356.12</v>
      </c>
      <c r="BH10" s="46">
        <v>5495.9040000000005</v>
      </c>
      <c r="BI10" s="46">
        <v>105.8</v>
      </c>
      <c r="BJ10" s="46">
        <f t="shared" si="68"/>
        <v>102.60979963107624</v>
      </c>
      <c r="BK10" s="44">
        <f t="shared" si="29"/>
        <v>375.26238352133396</v>
      </c>
      <c r="BL10" s="44">
        <f t="shared" si="30"/>
        <v>387.36284183817315</v>
      </c>
      <c r="BM10" s="221">
        <v>36030</v>
      </c>
      <c r="BN10" s="175">
        <v>37608</v>
      </c>
      <c r="BO10" s="175">
        <v>38056</v>
      </c>
      <c r="BP10" s="224">
        <f t="shared" si="69"/>
        <v>104.3796835970025</v>
      </c>
      <c r="BQ10" s="96">
        <f t="shared" si="31"/>
        <v>101.19123590725378</v>
      </c>
      <c r="BR10" s="44">
        <f t="shared" si="70"/>
        <v>1.1912359072537839</v>
      </c>
      <c r="BS10" s="44">
        <f t="shared" si="71"/>
        <v>448</v>
      </c>
      <c r="BT10" s="158">
        <f t="shared" si="32"/>
        <v>2.6349050655083022</v>
      </c>
      <c r="BU10" s="158">
        <f t="shared" si="33"/>
        <v>2.6822667042571187</v>
      </c>
      <c r="BV10" s="221">
        <v>61938</v>
      </c>
      <c r="BW10" s="175">
        <v>63395</v>
      </c>
      <c r="BX10" s="175">
        <v>59784</v>
      </c>
      <c r="BY10" s="224">
        <f t="shared" si="34"/>
        <v>102.35235235235236</v>
      </c>
      <c r="BZ10" s="96">
        <f t="shared" si="35"/>
        <v>94.303967189841472</v>
      </c>
      <c r="CA10" s="44">
        <f t="shared" si="72"/>
        <v>4.4416030266937572</v>
      </c>
      <c r="CB10" s="44">
        <f t="shared" si="72"/>
        <v>4.2137017197631801</v>
      </c>
      <c r="CC10" s="44"/>
      <c r="CD10" s="175">
        <v>16116</v>
      </c>
      <c r="CE10" s="175">
        <v>17817</v>
      </c>
      <c r="CF10" s="46">
        <v>107.3</v>
      </c>
      <c r="CG10" s="46">
        <f t="shared" si="73"/>
        <v>110.55472822040208</v>
      </c>
      <c r="CH10" s="158">
        <f t="shared" si="36"/>
        <v>1.12912492117985</v>
      </c>
      <c r="CI10" s="158">
        <f t="shared" si="37"/>
        <v>1.2557795319988723</v>
      </c>
      <c r="CJ10" s="46">
        <f>[1]Онгудай!$D31</f>
        <v>9496</v>
      </c>
      <c r="CK10" s="175">
        <v>9895</v>
      </c>
      <c r="CL10" s="175">
        <v>10596</v>
      </c>
      <c r="CM10" s="46">
        <v>104.2</v>
      </c>
      <c r="CN10" s="46">
        <f t="shared" si="74"/>
        <v>107.08438605356241</v>
      </c>
      <c r="CO10" s="158">
        <f t="shared" si="75"/>
        <v>693.26700763679673</v>
      </c>
      <c r="CP10" s="158">
        <f t="shared" si="76"/>
        <v>742.38071883976738</v>
      </c>
      <c r="CQ10" s="134"/>
      <c r="CR10" s="148">
        <v>66</v>
      </c>
      <c r="CS10" s="148">
        <v>69</v>
      </c>
      <c r="CT10" s="46">
        <v>69.400000000000006</v>
      </c>
      <c r="CU10" s="46">
        <f t="shared" ref="CU10:CU18" si="82">CS10/CR10*100</f>
        <v>104.54545454545455</v>
      </c>
      <c r="CV10" s="193">
        <f t="shared" si="77"/>
        <v>4.6241154627618579</v>
      </c>
      <c r="CW10" s="193">
        <f t="shared" si="78"/>
        <v>4.8632647307583881</v>
      </c>
      <c r="CX10" s="134"/>
      <c r="CY10" s="46">
        <v>15.9</v>
      </c>
      <c r="CZ10" s="46">
        <v>16.2</v>
      </c>
      <c r="DA10" s="46">
        <v>87.4</v>
      </c>
      <c r="DB10" s="46">
        <f t="shared" ref="DB10:DB17" si="83">CZ10/CY10*100</f>
        <v>101.88679245283019</v>
      </c>
      <c r="DC10" s="50">
        <f t="shared" si="79"/>
        <v>1.1139914523926293</v>
      </c>
      <c r="DD10" s="50">
        <f t="shared" si="38"/>
        <v>1.1418099802650126</v>
      </c>
      <c r="DE10" s="258">
        <v>1242.546</v>
      </c>
      <c r="DF10" s="259">
        <v>1702.0427999999999</v>
      </c>
      <c r="DG10" s="251">
        <f t="shared" si="39"/>
        <v>2502.0029159999999</v>
      </c>
      <c r="DH10" s="46">
        <v>182.36700081642613</v>
      </c>
      <c r="DI10" s="44">
        <v>125.82002821212987</v>
      </c>
      <c r="DJ10" s="44">
        <f t="shared" si="3"/>
        <v>87.055699572619631</v>
      </c>
      <c r="DK10" s="44">
        <f t="shared" si="40"/>
        <v>119.96354665914858</v>
      </c>
      <c r="DL10" s="255">
        <v>1238.9069999999999</v>
      </c>
      <c r="DM10" s="256">
        <v>1689.539</v>
      </c>
      <c r="DN10" s="44">
        <f t="shared" si="4"/>
        <v>136.37335167207871</v>
      </c>
      <c r="DO10" s="44">
        <f t="shared" si="41"/>
        <v>86.800742660968268</v>
      </c>
      <c r="DP10" s="44">
        <f t="shared" si="42"/>
        <v>119.0822526078376</v>
      </c>
      <c r="DQ10" s="180">
        <v>80.144000000000005</v>
      </c>
      <c r="DR10" s="263">
        <v>332.27</v>
      </c>
      <c r="DS10" s="44">
        <f t="shared" si="5"/>
        <v>414.59123577560388</v>
      </c>
      <c r="DT10" s="44">
        <f t="shared" si="43"/>
        <v>5.6150774189028239</v>
      </c>
      <c r="DU10" s="44">
        <f t="shared" si="44"/>
        <v>23.419086552015788</v>
      </c>
      <c r="DV10" s="250">
        <f t="shared" si="45"/>
        <v>1158.7629999999999</v>
      </c>
      <c r="DW10" s="251">
        <f t="shared" si="46"/>
        <v>1357.269</v>
      </c>
      <c r="DX10" s="198">
        <f t="shared" si="47"/>
        <v>12.663224793281405</v>
      </c>
      <c r="DY10" s="198">
        <v>124.23</v>
      </c>
      <c r="DZ10" s="98">
        <f t="shared" si="48"/>
        <v>117.13085419537906</v>
      </c>
      <c r="EA10" s="44">
        <f t="shared" si="6"/>
        <v>81.18566524206544</v>
      </c>
      <c r="EB10" s="44">
        <f t="shared" si="49"/>
        <v>95.663166055821819</v>
      </c>
      <c r="EC10" s="151"/>
      <c r="ED10" s="154">
        <v>515</v>
      </c>
      <c r="EE10" s="154">
        <v>490</v>
      </c>
      <c r="EF10" s="100">
        <v>103</v>
      </c>
      <c r="EG10" s="98">
        <v>71.599999999999994</v>
      </c>
      <c r="EH10" s="198">
        <f t="shared" si="50"/>
        <v>360.82113080641773</v>
      </c>
      <c r="EI10" s="198">
        <f t="shared" si="51"/>
        <v>345.36227798139271</v>
      </c>
      <c r="EJ10" s="131">
        <v>39052.400000000001</v>
      </c>
      <c r="EK10" s="98">
        <f>163058+154457</f>
        <v>317515</v>
      </c>
      <c r="EL10" s="98">
        <f>227805+122294</f>
        <v>350099</v>
      </c>
      <c r="EM10" s="98">
        <f t="shared" si="52"/>
        <v>350.09899999999999</v>
      </c>
      <c r="EN10" s="98">
        <v>101</v>
      </c>
      <c r="EO10" s="98">
        <f>EL10/EK10*100</f>
        <v>110.2621923373699</v>
      </c>
      <c r="EP10" s="198">
        <f t="shared" si="53"/>
        <v>22.24584880543684</v>
      </c>
      <c r="EQ10" s="198">
        <f t="shared" si="54"/>
        <v>24.675711869185228</v>
      </c>
      <c r="ER10" s="124">
        <v>193</v>
      </c>
      <c r="ES10" s="154">
        <v>220</v>
      </c>
      <c r="ET10" s="154">
        <v>346</v>
      </c>
      <c r="EU10" s="100">
        <v>102</v>
      </c>
      <c r="EV10" s="44">
        <f t="shared" si="7"/>
        <v>157.27272727272728</v>
      </c>
      <c r="EW10" s="148">
        <v>261</v>
      </c>
      <c r="EX10" s="227">
        <v>224</v>
      </c>
      <c r="EY10" s="345">
        <v>187</v>
      </c>
      <c r="EZ10" s="100">
        <v>110.83</v>
      </c>
      <c r="FA10" s="98">
        <f t="shared" si="55"/>
        <v>83.482142857142861</v>
      </c>
      <c r="FB10" s="198">
        <f t="shared" si="8"/>
        <v>15.693967631191761</v>
      </c>
      <c r="FC10" s="98">
        <f t="shared" si="9"/>
        <v>13.180152241330703</v>
      </c>
      <c r="FD10" s="182">
        <v>25</v>
      </c>
      <c r="FE10" s="229">
        <v>22</v>
      </c>
      <c r="FF10" s="345">
        <v>31</v>
      </c>
      <c r="FG10" s="100">
        <v>80.8</v>
      </c>
      <c r="FH10" s="98">
        <f t="shared" si="56"/>
        <v>140.90909090909091</v>
      </c>
      <c r="FI10" s="198">
        <f t="shared" si="10"/>
        <v>154.13718209206195</v>
      </c>
      <c r="FJ10" s="98">
        <f t="shared" si="11"/>
        <v>218.49450239639131</v>
      </c>
      <c r="FK10" s="120"/>
      <c r="FL10" s="120"/>
      <c r="FM10" s="118"/>
      <c r="FN10" s="132"/>
      <c r="FO10" s="118"/>
      <c r="FP10" s="118"/>
      <c r="FQ10" s="185">
        <v>4873</v>
      </c>
      <c r="FR10" s="184">
        <v>3140</v>
      </c>
      <c r="FS10" s="231">
        <v>3287</v>
      </c>
      <c r="FT10" s="47">
        <f t="shared" si="57"/>
        <v>3.3139757627084467</v>
      </c>
      <c r="FU10" s="100">
        <v>92.7</v>
      </c>
      <c r="FV10" s="98">
        <f t="shared" si="58"/>
        <v>104.68152866242038</v>
      </c>
      <c r="FW10" s="198">
        <f t="shared" si="12"/>
        <v>219.99579625867023</v>
      </c>
      <c r="FX10" s="98">
        <f t="shared" si="13"/>
        <v>231.67465463772203</v>
      </c>
      <c r="FY10" s="133"/>
      <c r="FZ10" s="133"/>
      <c r="GA10" s="133"/>
      <c r="GB10" s="189">
        <v>98126.612640000021</v>
      </c>
      <c r="GC10" s="201">
        <v>106772.61</v>
      </c>
      <c r="GD10" s="190">
        <v>121209.64</v>
      </c>
      <c r="GE10" s="166">
        <f t="shared" si="59"/>
        <v>121.20963999999999</v>
      </c>
      <c r="GF10" s="166">
        <f t="shared" ref="GF10:GF17" si="84">GD10/$GD$18*100</f>
        <v>5.219829547533875</v>
      </c>
      <c r="GG10" s="202">
        <f t="shared" si="60"/>
        <v>108.81106269480615</v>
      </c>
      <c r="GH10" s="163">
        <f t="shared" si="61"/>
        <v>113.52128603019069</v>
      </c>
      <c r="GI10" s="48">
        <v>2.09</v>
      </c>
      <c r="GJ10" s="50">
        <v>2.2000000000000002</v>
      </c>
      <c r="GK10" s="47">
        <f t="shared" si="62"/>
        <v>105.26315789473686</v>
      </c>
      <c r="GL10" s="100">
        <v>0</v>
      </c>
      <c r="GM10" s="100">
        <v>100</v>
      </c>
      <c r="GN10" s="166"/>
      <c r="GO10" s="127"/>
      <c r="GP10" s="128"/>
      <c r="GQ10" s="129"/>
      <c r="GR10" s="128"/>
      <c r="GS10" s="130"/>
      <c r="GT10" s="100">
        <v>70.12</v>
      </c>
      <c r="GU10" s="100">
        <v>74</v>
      </c>
      <c r="GV10" s="166">
        <f t="shared" si="63"/>
        <v>105.53337136337706</v>
      </c>
      <c r="GW10" s="113"/>
      <c r="GX10" s="114"/>
      <c r="GY10" s="100">
        <v>6.2</v>
      </c>
      <c r="GZ10" s="100">
        <v>4.4000000000000004</v>
      </c>
      <c r="HA10" s="166">
        <v>70.967741935483872</v>
      </c>
      <c r="HB10" s="100">
        <f>[1]Онгудай!$D13</f>
        <v>25.7</v>
      </c>
      <c r="HC10" s="100">
        <v>273.3</v>
      </c>
      <c r="HD10" s="100">
        <v>5</v>
      </c>
      <c r="HE10" s="340">
        <f t="shared" si="81"/>
        <v>1.8294914013904133</v>
      </c>
      <c r="HF10" s="166"/>
      <c r="HG10" s="100">
        <v>6</v>
      </c>
      <c r="HH10" s="100"/>
    </row>
    <row r="11" spans="1:216" ht="19.5" customHeight="1">
      <c r="A11" s="49" t="s">
        <v>38</v>
      </c>
      <c r="B11" s="145">
        <v>12420</v>
      </c>
      <c r="C11" s="145">
        <v>12428</v>
      </c>
      <c r="D11" s="100">
        <v>594373.30000000005</v>
      </c>
      <c r="E11" s="101">
        <v>471489.89999999997</v>
      </c>
      <c r="F11" s="101">
        <v>511411.8</v>
      </c>
      <c r="G11" s="44">
        <f t="shared" si="14"/>
        <v>2.9844559883023236</v>
      </c>
      <c r="H11" s="45">
        <f t="shared" si="15"/>
        <v>6</v>
      </c>
      <c r="I11" s="198">
        <f t="shared" si="16"/>
        <v>79.325551803891585</v>
      </c>
      <c r="J11" s="98">
        <f t="shared" si="17"/>
        <v>108.46718031499721</v>
      </c>
      <c r="K11" s="148">
        <f t="shared" si="18"/>
        <v>5</v>
      </c>
      <c r="L11" s="44">
        <f t="shared" si="19"/>
        <v>37.962149758454103</v>
      </c>
      <c r="M11" s="46">
        <f t="shared" si="19"/>
        <v>41.149967814612168</v>
      </c>
      <c r="N11" s="148">
        <f t="shared" si="0"/>
        <v>7</v>
      </c>
      <c r="O11" s="232">
        <v>129020</v>
      </c>
      <c r="P11" s="334">
        <v>163249.70000000001</v>
      </c>
      <c r="Q11" s="334">
        <v>144367.70000000001</v>
      </c>
      <c r="R11" s="265">
        <v>117.5</v>
      </c>
      <c r="S11" s="228">
        <v>62.8</v>
      </c>
      <c r="T11" s="267">
        <f t="shared" si="20"/>
        <v>13.144098228663447</v>
      </c>
      <c r="U11" s="98">
        <f t="shared" si="21"/>
        <v>11.616326037978759</v>
      </c>
      <c r="V11" s="100">
        <v>343474.21024631266</v>
      </c>
      <c r="W11" s="100">
        <v>304.23501644343901</v>
      </c>
      <c r="X11" s="100">
        <v>326.84519999999998</v>
      </c>
      <c r="Y11" s="100">
        <v>100.3</v>
      </c>
      <c r="Z11" s="100">
        <v>102.4</v>
      </c>
      <c r="AA11" s="98">
        <f t="shared" si="64"/>
        <v>24.495572982563527</v>
      </c>
      <c r="AB11" s="98">
        <f t="shared" si="65"/>
        <v>26.299098809140645</v>
      </c>
      <c r="AC11" s="119"/>
      <c r="AD11" s="100">
        <v>233.03909999999999</v>
      </c>
      <c r="AE11" s="100">
        <v>228.1593</v>
      </c>
      <c r="AF11" s="100">
        <v>99.8</v>
      </c>
      <c r="AG11" s="100">
        <v>103.7</v>
      </c>
      <c r="AH11" s="158">
        <f t="shared" si="22"/>
        <v>18.763212560386471</v>
      </c>
      <c r="AI11" s="98">
        <f t="shared" si="66"/>
        <v>18.358488896041198</v>
      </c>
      <c r="AJ11" s="119"/>
      <c r="AK11" s="100">
        <v>103.47750000000001</v>
      </c>
      <c r="AL11" s="100">
        <v>98.685900000000004</v>
      </c>
      <c r="AM11" s="164">
        <f t="shared" si="23"/>
        <v>30193.467733349</v>
      </c>
      <c r="AN11" s="100">
        <v>101.4</v>
      </c>
      <c r="AO11" s="100">
        <v>99.7</v>
      </c>
      <c r="AP11" s="44">
        <f t="shared" si="1"/>
        <v>8.3315217391304355</v>
      </c>
      <c r="AQ11" s="98">
        <f t="shared" si="2"/>
        <v>7.9406099130994532</v>
      </c>
      <c r="AR11" s="119"/>
      <c r="AS11" s="46">
        <v>19.600000000000001</v>
      </c>
      <c r="AT11" s="46">
        <v>17.0300000000002</v>
      </c>
      <c r="AU11" s="46">
        <v>100</v>
      </c>
      <c r="AV11" s="46">
        <f>AT11/AS11*100</f>
        <v>86.887755102041837</v>
      </c>
      <c r="AW11" s="46">
        <f t="shared" si="24"/>
        <v>1.5780998389694043</v>
      </c>
      <c r="AX11" s="46">
        <f t="shared" si="25"/>
        <v>1.3702928870293047</v>
      </c>
      <c r="AY11" s="117"/>
      <c r="AZ11" s="46">
        <v>3445.2000000000003</v>
      </c>
      <c r="BA11" s="46">
        <v>3399.8</v>
      </c>
      <c r="BB11" s="46">
        <v>100.8</v>
      </c>
      <c r="BC11" s="99">
        <f t="shared" si="26"/>
        <v>98.682224544293504</v>
      </c>
      <c r="BD11" s="44">
        <f t="shared" si="27"/>
        <v>277.39130434782612</v>
      </c>
      <c r="BE11" s="147">
        <f t="shared" si="28"/>
        <v>273.55970389443195</v>
      </c>
      <c r="BF11" s="136"/>
      <c r="BG11" s="46">
        <v>438.92000000000007</v>
      </c>
      <c r="BH11" s="46">
        <v>472</v>
      </c>
      <c r="BI11" s="46">
        <v>98.4</v>
      </c>
      <c r="BJ11" s="46">
        <f t="shared" si="68"/>
        <v>107.5366809441356</v>
      </c>
      <c r="BK11" s="44">
        <f t="shared" si="29"/>
        <v>35.339774557165867</v>
      </c>
      <c r="BL11" s="44">
        <f t="shared" si="30"/>
        <v>37.978757644029606</v>
      </c>
      <c r="BM11" s="221">
        <v>2344</v>
      </c>
      <c r="BN11" s="175">
        <v>2509</v>
      </c>
      <c r="BO11" s="175">
        <v>2397</v>
      </c>
      <c r="BP11" s="224">
        <f t="shared" si="69"/>
        <v>107.03924914675768</v>
      </c>
      <c r="BQ11" s="96">
        <f t="shared" si="31"/>
        <v>95.536070147469104</v>
      </c>
      <c r="BR11" s="44">
        <f t="shared" si="70"/>
        <v>-4.4639298525308959</v>
      </c>
      <c r="BS11" s="44">
        <f t="shared" si="71"/>
        <v>-112</v>
      </c>
      <c r="BT11" s="158">
        <f t="shared" si="32"/>
        <v>0.20201288244766505</v>
      </c>
      <c r="BU11" s="158">
        <f t="shared" si="33"/>
        <v>0.19287093659478596</v>
      </c>
      <c r="BV11" s="221">
        <v>270</v>
      </c>
      <c r="BW11" s="175">
        <v>300</v>
      </c>
      <c r="BX11" s="175">
        <v>280</v>
      </c>
      <c r="BY11" s="224">
        <f t="shared" si="34"/>
        <v>111.11111111111111</v>
      </c>
      <c r="BZ11" s="96">
        <f t="shared" si="35"/>
        <v>93.333333333333329</v>
      </c>
      <c r="CA11" s="44">
        <f t="shared" si="72"/>
        <v>2.4154589371980676E-2</v>
      </c>
      <c r="CB11" s="44">
        <f t="shared" si="72"/>
        <v>2.252977148374638E-2</v>
      </c>
      <c r="CC11" s="44"/>
      <c r="CD11" s="175">
        <v>742</v>
      </c>
      <c r="CE11" s="175">
        <v>727</v>
      </c>
      <c r="CF11" s="46">
        <v>115.4</v>
      </c>
      <c r="CG11" s="46">
        <f t="shared" si="73"/>
        <v>97.978436657681939</v>
      </c>
      <c r="CH11" s="158">
        <f t="shared" si="36"/>
        <v>5.9742351046698873E-2</v>
      </c>
      <c r="CI11" s="158">
        <f t="shared" si="37"/>
        <v>5.8496942388155775E-2</v>
      </c>
      <c r="CJ11" s="46">
        <f>[1]Турочак!$D31</f>
        <v>0</v>
      </c>
      <c r="CK11" s="175">
        <v>0</v>
      </c>
      <c r="CL11" s="175">
        <v>0</v>
      </c>
      <c r="CM11" s="46">
        <v>0</v>
      </c>
      <c r="CN11" s="46">
        <v>0</v>
      </c>
      <c r="CO11" s="158">
        <f t="shared" si="75"/>
        <v>0</v>
      </c>
      <c r="CP11" s="158">
        <f t="shared" si="76"/>
        <v>0</v>
      </c>
      <c r="CQ11" s="134"/>
      <c r="CR11" s="148">
        <v>18</v>
      </c>
      <c r="CS11" s="148">
        <v>19</v>
      </c>
      <c r="CT11" s="46">
        <v>75.599999999999994</v>
      </c>
      <c r="CU11" s="46">
        <f t="shared" si="82"/>
        <v>105.55555555555556</v>
      </c>
      <c r="CV11" s="193">
        <f t="shared" si="77"/>
        <v>1.4492753623188406</v>
      </c>
      <c r="CW11" s="193">
        <f t="shared" si="78"/>
        <v>1.5288059221113615</v>
      </c>
      <c r="CX11" s="134"/>
      <c r="CY11" s="46">
        <v>16.100000000000001</v>
      </c>
      <c r="CZ11" s="46">
        <v>11.5</v>
      </c>
      <c r="DA11" s="46">
        <v>128.9</v>
      </c>
      <c r="DB11" s="46">
        <f t="shared" si="83"/>
        <v>71.428571428571416</v>
      </c>
      <c r="DC11" s="50">
        <f t="shared" si="79"/>
        <v>1.2962962962962965</v>
      </c>
      <c r="DD11" s="50">
        <f t="shared" si="38"/>
        <v>0.92532990022529771</v>
      </c>
      <c r="DE11" s="258">
        <v>435.11</v>
      </c>
      <c r="DF11" s="259">
        <v>302.04599999999999</v>
      </c>
      <c r="DG11" s="251">
        <f t="shared" si="39"/>
        <v>444.00761999999997</v>
      </c>
      <c r="DH11" s="46">
        <v>104.64214798935876</v>
      </c>
      <c r="DI11" s="44">
        <v>63.762568213525689</v>
      </c>
      <c r="DJ11" s="44">
        <f t="shared" si="3"/>
        <v>35.033011272141707</v>
      </c>
      <c r="DK11" s="44">
        <f t="shared" si="40"/>
        <v>24.303669134213067</v>
      </c>
      <c r="DL11" s="255">
        <v>315.50400000000002</v>
      </c>
      <c r="DM11" s="256">
        <v>230.04599999999999</v>
      </c>
      <c r="DN11" s="44">
        <f t="shared" si="4"/>
        <v>72.913814087935492</v>
      </c>
      <c r="DO11" s="44">
        <f t="shared" si="41"/>
        <v>25.402898550724636</v>
      </c>
      <c r="DP11" s="44">
        <f t="shared" si="42"/>
        <v>18.510299324106857</v>
      </c>
      <c r="DQ11" s="180">
        <v>113.617</v>
      </c>
      <c r="DR11" s="261">
        <v>84.183999999999997</v>
      </c>
      <c r="DS11" s="44">
        <f t="shared" si="5"/>
        <v>74.094545710589074</v>
      </c>
      <c r="DT11" s="44">
        <f t="shared" si="43"/>
        <v>9.1479066022544284</v>
      </c>
      <c r="DU11" s="44">
        <f t="shared" si="44"/>
        <v>6.7737367235275183</v>
      </c>
      <c r="DV11" s="250">
        <f t="shared" si="45"/>
        <v>201.887</v>
      </c>
      <c r="DW11" s="251">
        <f t="shared" si="46"/>
        <v>145.86199999999999</v>
      </c>
      <c r="DX11" s="198">
        <f t="shared" si="47"/>
        <v>1.3608822531109253</v>
      </c>
      <c r="DY11" s="198">
        <v>270.89999999999998</v>
      </c>
      <c r="DZ11" s="98">
        <f t="shared" si="48"/>
        <v>72.249327594149207</v>
      </c>
      <c r="EA11" s="44">
        <f t="shared" si="6"/>
        <v>16.254991948470209</v>
      </c>
      <c r="EB11" s="44">
        <f t="shared" si="49"/>
        <v>11.736562600579337</v>
      </c>
      <c r="EC11" s="151"/>
      <c r="ED11" s="154">
        <v>402</v>
      </c>
      <c r="EE11" s="154">
        <v>369</v>
      </c>
      <c r="EF11" s="100">
        <v>98.1</v>
      </c>
      <c r="EG11" s="98">
        <v>74.599999999999994</v>
      </c>
      <c r="EH11" s="198">
        <f t="shared" si="50"/>
        <v>323.67149758454104</v>
      </c>
      <c r="EI11" s="198">
        <f t="shared" si="51"/>
        <v>296.91020276794336</v>
      </c>
      <c r="EJ11" s="131">
        <v>196617.7</v>
      </c>
      <c r="EK11" s="98">
        <f>225710+28979</f>
        <v>254689</v>
      </c>
      <c r="EL11" s="98">
        <f>588142+13170</f>
        <v>601312</v>
      </c>
      <c r="EM11" s="98">
        <f t="shared" si="52"/>
        <v>601.31200000000001</v>
      </c>
      <c r="EN11" s="98">
        <v>90.85</v>
      </c>
      <c r="EO11" s="98">
        <f t="shared" si="80"/>
        <v>236.09657268276209</v>
      </c>
      <c r="EP11" s="198">
        <f t="shared" si="53"/>
        <v>20.506360708534622</v>
      </c>
      <c r="EQ11" s="198">
        <f t="shared" si="54"/>
        <v>48.383649822980367</v>
      </c>
      <c r="ER11" s="124">
        <v>188.7</v>
      </c>
      <c r="ES11" s="154">
        <v>178</v>
      </c>
      <c r="ET11" s="154">
        <v>193</v>
      </c>
      <c r="EU11" s="100">
        <v>71.5</v>
      </c>
      <c r="EV11" s="44">
        <f t="shared" si="7"/>
        <v>108.42696629213484</v>
      </c>
      <c r="EW11" s="148">
        <v>202</v>
      </c>
      <c r="EX11" s="227">
        <v>168</v>
      </c>
      <c r="EY11" s="345">
        <v>150</v>
      </c>
      <c r="EZ11" s="100">
        <v>91.89</v>
      </c>
      <c r="FA11" s="98">
        <f t="shared" si="55"/>
        <v>89.285714285714292</v>
      </c>
      <c r="FB11" s="198">
        <f t="shared" si="8"/>
        <v>13.52657004830918</v>
      </c>
      <c r="FC11" s="98">
        <f t="shared" si="9"/>
        <v>12.069520437721275</v>
      </c>
      <c r="FD11" s="182">
        <v>23</v>
      </c>
      <c r="FE11" s="229">
        <v>28</v>
      </c>
      <c r="FF11" s="345">
        <v>23</v>
      </c>
      <c r="FG11" s="100">
        <v>112</v>
      </c>
      <c r="FH11" s="98">
        <f t="shared" si="56"/>
        <v>82.142857142857139</v>
      </c>
      <c r="FI11" s="198">
        <f t="shared" si="10"/>
        <v>225.44283413848632</v>
      </c>
      <c r="FJ11" s="98">
        <f t="shared" si="11"/>
        <v>185.06598004505955</v>
      </c>
      <c r="FK11" s="120"/>
      <c r="FL11" s="120"/>
      <c r="FM11" s="118"/>
      <c r="FN11" s="132"/>
      <c r="FO11" s="118"/>
      <c r="FP11" s="118"/>
      <c r="FQ11" s="185">
        <v>7460</v>
      </c>
      <c r="FR11" s="184">
        <v>6759</v>
      </c>
      <c r="FS11" s="231">
        <v>6870</v>
      </c>
      <c r="FT11" s="47">
        <f t="shared" si="57"/>
        <v>6.9263807392172279</v>
      </c>
      <c r="FU11" s="100">
        <v>69</v>
      </c>
      <c r="FV11" s="98">
        <f t="shared" si="58"/>
        <v>101.64225477141588</v>
      </c>
      <c r="FW11" s="198">
        <f t="shared" si="12"/>
        <v>544.20289855072463</v>
      </c>
      <c r="FX11" s="98">
        <f t="shared" si="13"/>
        <v>552.78403604763434</v>
      </c>
      <c r="FY11" s="133"/>
      <c r="FZ11" s="133"/>
      <c r="GA11" s="133"/>
      <c r="GB11" s="189">
        <v>109518.85896999999</v>
      </c>
      <c r="GC11" s="201">
        <v>150389.03</v>
      </c>
      <c r="GD11" s="190">
        <v>153324.19999999998</v>
      </c>
      <c r="GE11" s="166">
        <f t="shared" si="59"/>
        <v>153.32419999999999</v>
      </c>
      <c r="GF11" s="166">
        <f t="shared" si="84"/>
        <v>6.6028262233267352</v>
      </c>
      <c r="GG11" s="202">
        <f t="shared" si="60"/>
        <v>137.31792991122688</v>
      </c>
      <c r="GH11" s="163">
        <f t="shared" si="61"/>
        <v>101.95171815391055</v>
      </c>
      <c r="GI11" s="47">
        <v>3.05</v>
      </c>
      <c r="GJ11" s="50">
        <v>2.98</v>
      </c>
      <c r="GK11" s="47">
        <f t="shared" si="62"/>
        <v>97.704918032786892</v>
      </c>
      <c r="GL11" s="100">
        <v>0</v>
      </c>
      <c r="GM11" s="100">
        <v>94.9</v>
      </c>
      <c r="GN11" s="166"/>
      <c r="GO11" s="127"/>
      <c r="GP11" s="128"/>
      <c r="GQ11" s="129"/>
      <c r="GR11" s="128"/>
      <c r="GS11" s="130"/>
      <c r="GT11" s="100">
        <v>91</v>
      </c>
      <c r="GU11" s="100">
        <v>91</v>
      </c>
      <c r="GV11" s="166">
        <f t="shared" si="63"/>
        <v>100</v>
      </c>
      <c r="GW11" s="113"/>
      <c r="GX11" s="114"/>
      <c r="GY11" s="100">
        <v>6.3</v>
      </c>
      <c r="GZ11" s="100">
        <v>5.7</v>
      </c>
      <c r="HA11" s="166">
        <v>90.476190476190482</v>
      </c>
      <c r="HB11" s="100">
        <f>[1]Турочак!$D13</f>
        <v>93</v>
      </c>
      <c r="HC11" s="100">
        <v>318</v>
      </c>
      <c r="HD11" s="100">
        <v>295.7</v>
      </c>
      <c r="HE11" s="98">
        <f t="shared" si="81"/>
        <v>92.987421383647799</v>
      </c>
      <c r="HF11" s="166"/>
      <c r="HG11" s="100">
        <v>3</v>
      </c>
      <c r="HH11" s="100"/>
    </row>
    <row r="12" spans="1:216" s="2" customFormat="1" ht="18" customHeight="1">
      <c r="A12" s="43" t="s">
        <v>39</v>
      </c>
      <c r="B12" s="145">
        <v>11621</v>
      </c>
      <c r="C12" s="145">
        <v>11714</v>
      </c>
      <c r="D12" s="100">
        <v>366027.7</v>
      </c>
      <c r="E12" s="98">
        <v>413753.69999999995</v>
      </c>
      <c r="F12" s="98">
        <v>417498.60000000003</v>
      </c>
      <c r="G12" s="44">
        <f t="shared" si="14"/>
        <v>2.4364048637083391</v>
      </c>
      <c r="H12" s="45">
        <f t="shared" si="15"/>
        <v>8</v>
      </c>
      <c r="I12" s="198">
        <f t="shared" si="16"/>
        <v>113.03890388623591</v>
      </c>
      <c r="J12" s="98">
        <f t="shared" si="17"/>
        <v>100.90510368849877</v>
      </c>
      <c r="K12" s="148">
        <f t="shared" si="18"/>
        <v>6</v>
      </c>
      <c r="L12" s="44">
        <f t="shared" si="19"/>
        <v>35.603966956372084</v>
      </c>
      <c r="M12" s="46">
        <f>F12/C12</f>
        <v>35.640993682772752</v>
      </c>
      <c r="N12" s="148">
        <f t="shared" si="0"/>
        <v>8</v>
      </c>
      <c r="O12" s="232">
        <v>124723.1</v>
      </c>
      <c r="P12" s="334">
        <v>145346.9</v>
      </c>
      <c r="Q12" s="334">
        <v>155887.4</v>
      </c>
      <c r="R12" s="265">
        <v>80</v>
      </c>
      <c r="S12" s="228">
        <v>94.7</v>
      </c>
      <c r="T12" s="267">
        <f t="shared" si="20"/>
        <v>12.507262714052146</v>
      </c>
      <c r="U12" s="98">
        <f t="shared" si="21"/>
        <v>13.307785555745262</v>
      </c>
      <c r="V12" s="100">
        <v>775021.2</v>
      </c>
      <c r="W12" s="100">
        <v>618.740498766256</v>
      </c>
      <c r="X12" s="100">
        <v>597.22519999999997</v>
      </c>
      <c r="Y12" s="100">
        <v>101</v>
      </c>
      <c r="Z12" s="100">
        <v>92.2</v>
      </c>
      <c r="AA12" s="98">
        <f t="shared" si="64"/>
        <v>53.243309419693318</v>
      </c>
      <c r="AB12" s="98">
        <f t="shared" si="65"/>
        <v>50.983882533720333</v>
      </c>
      <c r="AC12" s="119"/>
      <c r="AD12" s="100">
        <v>631.01919999999996</v>
      </c>
      <c r="AE12" s="100">
        <v>525.44359999999995</v>
      </c>
      <c r="AF12" s="100">
        <v>101.6</v>
      </c>
      <c r="AG12" s="100">
        <v>91.1</v>
      </c>
      <c r="AH12" s="158">
        <f t="shared" si="22"/>
        <v>54.299905343774199</v>
      </c>
      <c r="AI12" s="98">
        <f t="shared" si="66"/>
        <v>44.856035513061293</v>
      </c>
      <c r="AJ12" s="119"/>
      <c r="AK12" s="100">
        <v>71.232900000000001</v>
      </c>
      <c r="AL12" s="100">
        <v>71.781599999999997</v>
      </c>
      <c r="AM12" s="164">
        <f t="shared" si="23"/>
        <v>12019.18472294873</v>
      </c>
      <c r="AN12" s="100">
        <v>96</v>
      </c>
      <c r="AO12" s="100">
        <v>101.1</v>
      </c>
      <c r="AP12" s="44">
        <f t="shared" si="1"/>
        <v>6.1296704242319935</v>
      </c>
      <c r="AQ12" s="98">
        <f t="shared" si="2"/>
        <v>6.1278470206590399</v>
      </c>
      <c r="AR12" s="119"/>
      <c r="AS12" s="46">
        <v>133.30000000000001</v>
      </c>
      <c r="AT12" s="46">
        <v>133.48000000000002</v>
      </c>
      <c r="AU12" s="46">
        <v>100.1</v>
      </c>
      <c r="AV12" s="46">
        <f t="shared" si="67"/>
        <v>100.13503375843962</v>
      </c>
      <c r="AW12" s="46">
        <f t="shared" si="24"/>
        <v>11.470613544445401</v>
      </c>
      <c r="AX12" s="46">
        <f t="shared" si="25"/>
        <v>11.394912071026125</v>
      </c>
      <c r="AY12" s="117"/>
      <c r="AZ12" s="46">
        <v>2076.81</v>
      </c>
      <c r="BA12" s="46">
        <v>1878.68</v>
      </c>
      <c r="BB12" s="46">
        <v>101.2</v>
      </c>
      <c r="BC12" s="99">
        <f t="shared" si="26"/>
        <v>90.459888001309707</v>
      </c>
      <c r="BD12" s="44">
        <f t="shared" si="27"/>
        <v>178.7118148180019</v>
      </c>
      <c r="BE12" s="147">
        <f t="shared" si="28"/>
        <v>160.37903363496673</v>
      </c>
      <c r="BF12" s="136"/>
      <c r="BG12" s="46">
        <v>3370.97</v>
      </c>
      <c r="BH12" s="46">
        <v>3077.52</v>
      </c>
      <c r="BI12" s="46">
        <v>100.3</v>
      </c>
      <c r="BJ12" s="46">
        <f t="shared" si="68"/>
        <v>91.29479052023602</v>
      </c>
      <c r="BK12" s="44">
        <f t="shared" si="29"/>
        <v>290.07572498063848</v>
      </c>
      <c r="BL12" s="44">
        <f t="shared" si="30"/>
        <v>262.72152979340956</v>
      </c>
      <c r="BM12" s="221">
        <v>26784</v>
      </c>
      <c r="BN12" s="175">
        <v>22596</v>
      </c>
      <c r="BO12" s="175">
        <v>20374</v>
      </c>
      <c r="BP12" s="224">
        <f t="shared" si="69"/>
        <v>84.363799283154123</v>
      </c>
      <c r="BQ12" s="96">
        <f t="shared" si="31"/>
        <v>90.166401132943889</v>
      </c>
      <c r="BR12" s="44">
        <f t="shared" si="70"/>
        <v>-9.8335988670561107</v>
      </c>
      <c r="BS12" s="44">
        <f t="shared" si="71"/>
        <v>-2222</v>
      </c>
      <c r="BT12" s="158">
        <f t="shared" si="32"/>
        <v>1.9444109801221925</v>
      </c>
      <c r="BU12" s="158">
        <f t="shared" si="33"/>
        <v>1.7392863240566843</v>
      </c>
      <c r="BV12" s="221">
        <v>25923</v>
      </c>
      <c r="BW12" s="175">
        <v>24208</v>
      </c>
      <c r="BX12" s="175">
        <v>21142</v>
      </c>
      <c r="BY12" s="224">
        <f t="shared" si="34"/>
        <v>93.384253365736996</v>
      </c>
      <c r="BZ12" s="96">
        <f t="shared" si="35"/>
        <v>87.334765366820889</v>
      </c>
      <c r="CA12" s="44">
        <f t="shared" si="72"/>
        <v>2.0831253764736255</v>
      </c>
      <c r="CB12" s="44">
        <f t="shared" si="72"/>
        <v>1.8048488987536282</v>
      </c>
      <c r="CC12" s="44"/>
      <c r="CD12" s="175">
        <v>13056</v>
      </c>
      <c r="CE12" s="175">
        <v>10419</v>
      </c>
      <c r="CF12" s="46">
        <v>86.5</v>
      </c>
      <c r="CG12" s="46">
        <f t="shared" si="73"/>
        <v>79.802389705882348</v>
      </c>
      <c r="CH12" s="158">
        <f t="shared" si="36"/>
        <v>1.123483349109371</v>
      </c>
      <c r="CI12" s="158">
        <f t="shared" si="37"/>
        <v>0.88944852313471057</v>
      </c>
      <c r="CJ12" s="46">
        <f>[1]Улаган!$D31</f>
        <v>0</v>
      </c>
      <c r="CK12" s="175">
        <v>0</v>
      </c>
      <c r="CL12" s="175">
        <v>0</v>
      </c>
      <c r="CM12" s="46">
        <v>0</v>
      </c>
      <c r="CN12" s="46">
        <v>0</v>
      </c>
      <c r="CO12" s="158">
        <f t="shared" si="75"/>
        <v>0</v>
      </c>
      <c r="CP12" s="158">
        <f t="shared" si="76"/>
        <v>0</v>
      </c>
      <c r="CQ12" s="123"/>
      <c r="CR12" s="148">
        <v>147</v>
      </c>
      <c r="CS12" s="148">
        <v>236</v>
      </c>
      <c r="CT12" s="46">
        <v>112.8</v>
      </c>
      <c r="CU12" s="46">
        <f t="shared" si="82"/>
        <v>160.54421768707482</v>
      </c>
      <c r="CV12" s="193">
        <f t="shared" si="77"/>
        <v>12.649513811203855</v>
      </c>
      <c r="CW12" s="193">
        <f t="shared" si="78"/>
        <v>20.146832849581696</v>
      </c>
      <c r="CX12" s="123"/>
      <c r="CY12" s="46">
        <v>108</v>
      </c>
      <c r="CZ12" s="270">
        <v>93.5</v>
      </c>
      <c r="DA12" s="46">
        <v>1470</v>
      </c>
      <c r="DB12" s="46">
        <f t="shared" si="83"/>
        <v>86.574074074074076</v>
      </c>
      <c r="DC12" s="50">
        <f t="shared" si="79"/>
        <v>9.2935203510885458</v>
      </c>
      <c r="DD12" s="50">
        <f t="shared" si="38"/>
        <v>7.9819019976096977</v>
      </c>
      <c r="DE12" s="258">
        <v>177.83799999999999</v>
      </c>
      <c r="DF12" s="259">
        <v>119.5744</v>
      </c>
      <c r="DG12" s="251">
        <f t="shared" si="39"/>
        <v>175.77436799999998</v>
      </c>
      <c r="DH12" s="46">
        <v>101.56280358322493</v>
      </c>
      <c r="DI12" s="44">
        <v>61.759734717916103</v>
      </c>
      <c r="DJ12" s="44">
        <f t="shared" si="3"/>
        <v>15.303158075897082</v>
      </c>
      <c r="DK12" s="44">
        <f t="shared" si="40"/>
        <v>10.207819702919583</v>
      </c>
      <c r="DL12" s="255">
        <v>177.83799999999999</v>
      </c>
      <c r="DM12" s="256">
        <v>109.051</v>
      </c>
      <c r="DN12" s="44">
        <f t="shared" si="4"/>
        <v>61.320415209347836</v>
      </c>
      <c r="DO12" s="44">
        <f t="shared" si="41"/>
        <v>15.303158075897082</v>
      </c>
      <c r="DP12" s="44">
        <f t="shared" si="42"/>
        <v>9.3094587672870066</v>
      </c>
      <c r="DQ12" s="180">
        <v>156.73099999999999</v>
      </c>
      <c r="DR12" s="261">
        <v>48.304000000000002</v>
      </c>
      <c r="DS12" s="44">
        <f t="shared" si="5"/>
        <v>30.819684682672861</v>
      </c>
      <c r="DT12" s="44">
        <f t="shared" si="43"/>
        <v>13.486877205059805</v>
      </c>
      <c r="DU12" s="44">
        <f t="shared" si="44"/>
        <v>4.123612771043196</v>
      </c>
      <c r="DV12" s="250">
        <f t="shared" si="45"/>
        <v>21.106999999999999</v>
      </c>
      <c r="DW12" s="251">
        <f t="shared" si="46"/>
        <v>60.747</v>
      </c>
      <c r="DX12" s="198">
        <f t="shared" si="47"/>
        <v>0.56676525914720333</v>
      </c>
      <c r="DY12" s="198">
        <v>308</v>
      </c>
      <c r="DZ12" s="98">
        <f t="shared" si="48"/>
        <v>287.80499360401762</v>
      </c>
      <c r="EA12" s="44">
        <f t="shared" si="6"/>
        <v>1.8162808708372773</v>
      </c>
      <c r="EB12" s="44">
        <f t="shared" si="49"/>
        <v>5.1858459962438106</v>
      </c>
      <c r="EC12" s="151"/>
      <c r="ED12" s="154">
        <v>271</v>
      </c>
      <c r="EE12" s="154">
        <v>246</v>
      </c>
      <c r="EF12" s="100">
        <v>104</v>
      </c>
      <c r="EG12" s="98">
        <v>121.2</v>
      </c>
      <c r="EH12" s="198">
        <f t="shared" si="50"/>
        <v>233.19851992083298</v>
      </c>
      <c r="EI12" s="198">
        <f t="shared" si="51"/>
        <v>210.00512207614821</v>
      </c>
      <c r="EJ12" s="131">
        <v>26229.9</v>
      </c>
      <c r="EK12" s="98">
        <f>35754+43208</f>
        <v>78962</v>
      </c>
      <c r="EL12" s="98">
        <v>18747</v>
      </c>
      <c r="EM12" s="98">
        <f t="shared" si="52"/>
        <v>18.747</v>
      </c>
      <c r="EN12" s="98">
        <v>94</v>
      </c>
      <c r="EO12" s="98">
        <f t="shared" si="80"/>
        <v>23.741799853093891</v>
      </c>
      <c r="EP12" s="198">
        <f t="shared" si="53"/>
        <v>6.7947680922467946</v>
      </c>
      <c r="EQ12" s="198">
        <f t="shared" si="54"/>
        <v>1.6003926925046952</v>
      </c>
      <c r="ER12" s="124">
        <v>21</v>
      </c>
      <c r="ES12" s="154">
        <v>30</v>
      </c>
      <c r="ET12" s="154">
        <v>19</v>
      </c>
      <c r="EU12" s="100">
        <v>0</v>
      </c>
      <c r="EV12" s="44">
        <v>0</v>
      </c>
      <c r="EW12" s="148">
        <v>289</v>
      </c>
      <c r="EX12" s="227">
        <v>249</v>
      </c>
      <c r="EY12" s="345">
        <v>208</v>
      </c>
      <c r="EZ12" s="100">
        <v>93.54</v>
      </c>
      <c r="FA12" s="98">
        <f t="shared" si="55"/>
        <v>83.53413654618474</v>
      </c>
      <c r="FB12" s="198">
        <f t="shared" si="8"/>
        <v>21.426727476120817</v>
      </c>
      <c r="FC12" s="98">
        <f t="shared" si="9"/>
        <v>17.756530647088955</v>
      </c>
      <c r="FD12" s="182">
        <v>27</v>
      </c>
      <c r="FE12" s="229">
        <v>21</v>
      </c>
      <c r="FF12" s="345">
        <v>23</v>
      </c>
      <c r="FG12" s="100">
        <v>129.4</v>
      </c>
      <c r="FH12" s="98">
        <f t="shared" si="56"/>
        <v>109.52380952380953</v>
      </c>
      <c r="FI12" s="198">
        <f t="shared" si="10"/>
        <v>180.70734016005508</v>
      </c>
      <c r="FJ12" s="98">
        <f t="shared" si="11"/>
        <v>196.34625234761825</v>
      </c>
      <c r="FK12" s="120"/>
      <c r="FL12" s="120"/>
      <c r="FM12" s="118"/>
      <c r="FN12" s="132"/>
      <c r="FO12" s="118"/>
      <c r="FP12" s="118"/>
      <c r="FQ12" s="185">
        <v>2957</v>
      </c>
      <c r="FR12" s="184">
        <v>1613</v>
      </c>
      <c r="FS12" s="231">
        <v>3014</v>
      </c>
      <c r="FT12" s="47">
        <f t="shared" si="57"/>
        <v>3.0387353053858406</v>
      </c>
      <c r="FU12" s="100">
        <v>55.7</v>
      </c>
      <c r="FV12" s="98">
        <f t="shared" si="58"/>
        <v>186.85678859268444</v>
      </c>
      <c r="FW12" s="198">
        <f t="shared" si="12"/>
        <v>138.80044746579466</v>
      </c>
      <c r="FX12" s="98">
        <f t="shared" si="13"/>
        <v>257.29895851118317</v>
      </c>
      <c r="FY12" s="125"/>
      <c r="FZ12" s="125"/>
      <c r="GA12" s="125"/>
      <c r="GB12" s="188">
        <v>58516.943349999994</v>
      </c>
      <c r="GC12" s="201">
        <v>70717.090000000011</v>
      </c>
      <c r="GD12" s="190">
        <v>74724.399999999994</v>
      </c>
      <c r="GE12" s="166">
        <f t="shared" si="59"/>
        <v>74.724399999999989</v>
      </c>
      <c r="GF12" s="166">
        <f t="shared" si="84"/>
        <v>3.217967077880441</v>
      </c>
      <c r="GG12" s="202">
        <f t="shared" si="60"/>
        <v>120.84891306955119</v>
      </c>
      <c r="GH12" s="163">
        <f t="shared" si="61"/>
        <v>105.66667830930258</v>
      </c>
      <c r="GI12" s="48">
        <v>2.98</v>
      </c>
      <c r="GJ12" s="48">
        <v>2.2799999999999998</v>
      </c>
      <c r="GK12" s="47">
        <f t="shared" si="62"/>
        <v>76.510067114093943</v>
      </c>
      <c r="GL12" s="100">
        <v>0</v>
      </c>
      <c r="GM12" s="100">
        <v>100</v>
      </c>
      <c r="GN12" s="166"/>
      <c r="GO12" s="127"/>
      <c r="GP12" s="128"/>
      <c r="GQ12" s="129"/>
      <c r="GR12" s="128"/>
      <c r="GS12" s="130"/>
      <c r="GT12" s="100">
        <v>60.8</v>
      </c>
      <c r="GU12" s="100">
        <v>60.5</v>
      </c>
      <c r="GV12" s="166">
        <f t="shared" si="63"/>
        <v>99.506578947368425</v>
      </c>
      <c r="GW12" s="113"/>
      <c r="GX12" s="114"/>
      <c r="GY12" s="100">
        <v>3.7</v>
      </c>
      <c r="GZ12" s="100">
        <v>2.2000000000000002</v>
      </c>
      <c r="HA12" s="166">
        <v>59.45945945945946</v>
      </c>
      <c r="HB12" s="100">
        <f>[1]Улаган!$D13</f>
        <v>55.3</v>
      </c>
      <c r="HC12" s="100">
        <v>190.1</v>
      </c>
      <c r="HD12" s="100">
        <v>54.9</v>
      </c>
      <c r="HE12" s="98">
        <f t="shared" si="81"/>
        <v>28.879537085744346</v>
      </c>
      <c r="HF12" s="166"/>
      <c r="HG12" s="100">
        <v>2</v>
      </c>
      <c r="HH12" s="100"/>
    </row>
    <row r="13" spans="1:216" s="2" customFormat="1" ht="21" customHeight="1">
      <c r="A13" s="43" t="s">
        <v>40</v>
      </c>
      <c r="B13" s="145">
        <v>14620</v>
      </c>
      <c r="C13" s="145">
        <v>14571</v>
      </c>
      <c r="D13" s="98">
        <v>227266.80000000019</v>
      </c>
      <c r="E13" s="336">
        <v>245642.7</v>
      </c>
      <c r="F13" s="336">
        <v>274475.59999999998</v>
      </c>
      <c r="G13" s="44">
        <f t="shared" si="14"/>
        <v>1.6017627048552128</v>
      </c>
      <c r="H13" s="45">
        <f t="shared" si="15"/>
        <v>11</v>
      </c>
      <c r="I13" s="198">
        <f t="shared" si="16"/>
        <v>108.08560687262715</v>
      </c>
      <c r="J13" s="336">
        <f t="shared" si="17"/>
        <v>111.73773940768439</v>
      </c>
      <c r="K13" s="45">
        <f t="shared" si="18"/>
        <v>4</v>
      </c>
      <c r="L13" s="44">
        <f t="shared" si="19"/>
        <v>16.801826265389877</v>
      </c>
      <c r="M13" s="44">
        <f t="shared" si="19"/>
        <v>18.837114817102464</v>
      </c>
      <c r="N13" s="45">
        <f t="shared" si="0"/>
        <v>11</v>
      </c>
      <c r="O13" s="275">
        <v>48502.6</v>
      </c>
      <c r="P13" s="333">
        <v>65545.8</v>
      </c>
      <c r="Q13" s="333">
        <v>65005.8</v>
      </c>
      <c r="R13" s="277">
        <v>64.599999999999994</v>
      </c>
      <c r="S13" s="342">
        <v>113</v>
      </c>
      <c r="T13" s="267">
        <f t="shared" si="20"/>
        <v>4.4832968536251716</v>
      </c>
      <c r="U13" s="98">
        <f t="shared" si="21"/>
        <v>4.4613135680461191</v>
      </c>
      <c r="V13" s="98">
        <v>2889390.5</v>
      </c>
      <c r="W13" s="98">
        <v>2534.23537112029</v>
      </c>
      <c r="X13" s="98">
        <v>2640.7397999999998</v>
      </c>
      <c r="Y13" s="98">
        <v>100.7</v>
      </c>
      <c r="Z13" s="98">
        <v>99</v>
      </c>
      <c r="AA13" s="98">
        <f t="shared" si="64"/>
        <v>173.34031266212654</v>
      </c>
      <c r="AB13" s="98">
        <f t="shared" si="65"/>
        <v>181.23257154622195</v>
      </c>
      <c r="AC13" s="118"/>
      <c r="AD13" s="98">
        <v>2243.2676000000001</v>
      </c>
      <c r="AE13" s="98">
        <v>2151.3645999999999</v>
      </c>
      <c r="AF13" s="98">
        <v>101.7</v>
      </c>
      <c r="AG13" s="98">
        <v>97.2</v>
      </c>
      <c r="AH13" s="158">
        <f t="shared" si="22"/>
        <v>153.43827633378933</v>
      </c>
      <c r="AI13" s="98">
        <f t="shared" si="66"/>
        <v>147.64701118660352</v>
      </c>
      <c r="AJ13" s="118"/>
      <c r="AK13" s="98">
        <v>419.01710000000003</v>
      </c>
      <c r="AL13" s="98">
        <v>489.37520000000001</v>
      </c>
      <c r="AM13" s="44">
        <f t="shared" si="23"/>
        <v>18531.746293216773</v>
      </c>
      <c r="AN13" s="98">
        <v>96</v>
      </c>
      <c r="AO13" s="98">
        <v>107.7</v>
      </c>
      <c r="AP13" s="44">
        <f t="shared" si="1"/>
        <v>28.660540355677156</v>
      </c>
      <c r="AQ13" s="98">
        <f t="shared" si="2"/>
        <v>33.58556035961842</v>
      </c>
      <c r="AR13" s="118"/>
      <c r="AS13" s="44">
        <v>1584.3</v>
      </c>
      <c r="AT13" s="44">
        <v>1189.83</v>
      </c>
      <c r="AU13" s="44">
        <v>102</v>
      </c>
      <c r="AV13" s="44">
        <f t="shared" si="67"/>
        <v>75.101306570725228</v>
      </c>
      <c r="AW13" s="44">
        <f t="shared" si="24"/>
        <v>108.36525307797537</v>
      </c>
      <c r="AX13" s="44">
        <f t="shared" si="25"/>
        <v>81.657401688284949</v>
      </c>
      <c r="AY13" s="117"/>
      <c r="AZ13" s="44">
        <v>14101.68</v>
      </c>
      <c r="BA13" s="44">
        <v>13704.03</v>
      </c>
      <c r="BB13" s="44">
        <v>105.7</v>
      </c>
      <c r="BC13" s="98">
        <f t="shared" si="26"/>
        <v>97.180123219361107</v>
      </c>
      <c r="BD13" s="44">
        <f t="shared" si="27"/>
        <v>964.54719562243508</v>
      </c>
      <c r="BE13" s="278">
        <f t="shared" si="28"/>
        <v>940.50030883261286</v>
      </c>
      <c r="BF13" s="330"/>
      <c r="BG13" s="44">
        <v>10201.806999999999</v>
      </c>
      <c r="BH13" s="44">
        <v>10097.501</v>
      </c>
      <c r="BI13" s="44">
        <v>108.1</v>
      </c>
      <c r="BJ13" s="44">
        <f t="shared" si="68"/>
        <v>98.977573286771658</v>
      </c>
      <c r="BK13" s="44">
        <f t="shared" si="29"/>
        <v>697.79801641586857</v>
      </c>
      <c r="BL13" s="44">
        <f t="shared" si="30"/>
        <v>692.98613684716213</v>
      </c>
      <c r="BM13" s="280">
        <v>63434</v>
      </c>
      <c r="BN13" s="154">
        <v>63423</v>
      </c>
      <c r="BO13" s="154">
        <v>64941</v>
      </c>
      <c r="BP13" s="281">
        <f t="shared" si="69"/>
        <v>99.982659141785163</v>
      </c>
      <c r="BQ13" s="44">
        <f t="shared" si="31"/>
        <v>102.3934534790218</v>
      </c>
      <c r="BR13" s="44">
        <f t="shared" si="70"/>
        <v>2.3934534790218009</v>
      </c>
      <c r="BS13" s="44">
        <f t="shared" si="71"/>
        <v>1518</v>
      </c>
      <c r="BT13" s="158">
        <f t="shared" si="32"/>
        <v>4.3380984952120381</v>
      </c>
      <c r="BU13" s="158">
        <f t="shared" si="33"/>
        <v>4.4568663784228946</v>
      </c>
      <c r="BV13" s="280">
        <v>150244</v>
      </c>
      <c r="BW13" s="154">
        <v>141693</v>
      </c>
      <c r="BX13" s="154">
        <v>133149</v>
      </c>
      <c r="BY13" s="281">
        <f t="shared" si="34"/>
        <v>94.308591358057555</v>
      </c>
      <c r="BZ13" s="44">
        <f t="shared" si="35"/>
        <v>93.970062035527519</v>
      </c>
      <c r="CA13" s="44">
        <f t="shared" si="72"/>
        <v>9.6917236662106703</v>
      </c>
      <c r="CB13" s="44">
        <f t="shared" si="72"/>
        <v>9.1379452336833431</v>
      </c>
      <c r="CC13" s="44"/>
      <c r="CD13" s="154">
        <v>29460</v>
      </c>
      <c r="CE13" s="154">
        <v>31440</v>
      </c>
      <c r="CF13" s="44">
        <v>94.7</v>
      </c>
      <c r="CG13" s="44">
        <f t="shared" si="73"/>
        <v>106.72097759674135</v>
      </c>
      <c r="CH13" s="158">
        <f t="shared" si="36"/>
        <v>2.0150478796169629</v>
      </c>
      <c r="CI13" s="158">
        <f t="shared" si="37"/>
        <v>2.1577105208976737</v>
      </c>
      <c r="CJ13" s="44">
        <f>'[1]У-Кан'!$D31</f>
        <v>8999</v>
      </c>
      <c r="CK13" s="154">
        <v>9296</v>
      </c>
      <c r="CL13" s="154">
        <v>9180</v>
      </c>
      <c r="CM13" s="44">
        <v>103.3</v>
      </c>
      <c r="CN13" s="44">
        <f t="shared" si="74"/>
        <v>98.752151462994846</v>
      </c>
      <c r="CO13" s="158">
        <f t="shared" si="75"/>
        <v>635.84131326949387</v>
      </c>
      <c r="CP13" s="158">
        <f t="shared" si="76"/>
        <v>627.90697674418607</v>
      </c>
      <c r="CQ13" s="123"/>
      <c r="CR13" s="45">
        <v>130</v>
      </c>
      <c r="CS13" s="45">
        <v>131</v>
      </c>
      <c r="CT13" s="44">
        <v>620</v>
      </c>
      <c r="CU13" s="44">
        <f t="shared" si="82"/>
        <v>100.76923076923077</v>
      </c>
      <c r="CV13" s="282">
        <f t="shared" si="77"/>
        <v>8.891928864569083</v>
      </c>
      <c r="CW13" s="282">
        <f t="shared" si="78"/>
        <v>8.9904605037403069</v>
      </c>
      <c r="CX13" s="123"/>
      <c r="CY13" s="44">
        <v>31.9</v>
      </c>
      <c r="CZ13" s="331">
        <v>20.5</v>
      </c>
      <c r="DA13" s="44">
        <v>78.400000000000006</v>
      </c>
      <c r="DB13" s="46">
        <f t="shared" si="83"/>
        <v>64.263322884012538</v>
      </c>
      <c r="DC13" s="48">
        <f t="shared" si="79"/>
        <v>2.1819425444596443</v>
      </c>
      <c r="DD13" s="48">
        <f t="shared" si="38"/>
        <v>1.4069041246311167</v>
      </c>
      <c r="DE13" s="250">
        <v>332.35300000000001</v>
      </c>
      <c r="DF13" s="251">
        <v>478.37599999999998</v>
      </c>
      <c r="DG13" s="251">
        <f t="shared" si="39"/>
        <v>703.21271999999999</v>
      </c>
      <c r="DH13" s="44">
        <v>100.30319748369121</v>
      </c>
      <c r="DI13" s="44">
        <v>132.20916333011994</v>
      </c>
      <c r="DJ13" s="44">
        <f t="shared" si="3"/>
        <v>22.732763337893296</v>
      </c>
      <c r="DK13" s="44">
        <f t="shared" si="40"/>
        <v>32.830691098757804</v>
      </c>
      <c r="DL13" s="158">
        <v>111.74299999999999</v>
      </c>
      <c r="DM13" s="254">
        <v>282.73099999999999</v>
      </c>
      <c r="DN13" s="44">
        <f t="shared" si="4"/>
        <v>253.01898105474169</v>
      </c>
      <c r="DO13" s="44">
        <f t="shared" si="41"/>
        <v>7.6431600547195622</v>
      </c>
      <c r="DP13" s="44">
        <f t="shared" si="42"/>
        <v>19.40367853956489</v>
      </c>
      <c r="DQ13" s="178">
        <v>85.206999999999994</v>
      </c>
      <c r="DR13" s="251">
        <v>243.99799999999999</v>
      </c>
      <c r="DS13" s="44">
        <f t="shared" si="5"/>
        <v>286.35910195171761</v>
      </c>
      <c r="DT13" s="44">
        <f t="shared" si="43"/>
        <v>5.828112175102599</v>
      </c>
      <c r="DU13" s="44">
        <f t="shared" si="44"/>
        <v>16.745453297646009</v>
      </c>
      <c r="DV13" s="250">
        <f t="shared" si="45"/>
        <v>26.536000000000001</v>
      </c>
      <c r="DW13" s="251">
        <f t="shared" si="46"/>
        <v>38.733000000000004</v>
      </c>
      <c r="DX13" s="198">
        <f t="shared" si="47"/>
        <v>0.3613761796063778</v>
      </c>
      <c r="DY13" s="198">
        <v>152.80000000000001</v>
      </c>
      <c r="DZ13" s="98">
        <f t="shared" si="48"/>
        <v>145.96397347000303</v>
      </c>
      <c r="EA13" s="44">
        <f t="shared" si="6"/>
        <v>1.8150478796169631</v>
      </c>
      <c r="EB13" s="44">
        <f t="shared" si="49"/>
        <v>2.6582252419188803</v>
      </c>
      <c r="EC13" s="194"/>
      <c r="ED13" s="154">
        <v>538</v>
      </c>
      <c r="EE13" s="154">
        <v>501</v>
      </c>
      <c r="EF13" s="98">
        <v>110.3</v>
      </c>
      <c r="EG13" s="98">
        <v>116.2</v>
      </c>
      <c r="EH13" s="198">
        <f t="shared" si="50"/>
        <v>367.98905608755132</v>
      </c>
      <c r="EI13" s="198">
        <f t="shared" si="51"/>
        <v>343.833642165946</v>
      </c>
      <c r="EJ13" s="117">
        <v>114917.8</v>
      </c>
      <c r="EK13" s="98">
        <f>1161322</f>
        <v>1161322</v>
      </c>
      <c r="EL13" s="98">
        <v>993633</v>
      </c>
      <c r="EM13" s="98">
        <f t="shared" si="52"/>
        <v>993.63300000000004</v>
      </c>
      <c r="EN13" s="98">
        <v>190</v>
      </c>
      <c r="EO13" s="98">
        <f t="shared" si="80"/>
        <v>85.560507766149257</v>
      </c>
      <c r="EP13" s="198">
        <f t="shared" si="53"/>
        <v>79.433789329685368</v>
      </c>
      <c r="EQ13" s="198">
        <f t="shared" si="54"/>
        <v>68.192505661931236</v>
      </c>
      <c r="ER13" s="124">
        <v>268</v>
      </c>
      <c r="ES13" s="154">
        <v>312</v>
      </c>
      <c r="ET13" s="154">
        <v>267</v>
      </c>
      <c r="EU13" s="98">
        <v>100</v>
      </c>
      <c r="EV13" s="44">
        <f t="shared" si="7"/>
        <v>85.576923076923066</v>
      </c>
      <c r="EW13" s="45">
        <v>311</v>
      </c>
      <c r="EX13" s="227">
        <v>251</v>
      </c>
      <c r="EY13" s="344">
        <v>229</v>
      </c>
      <c r="EZ13" s="98">
        <v>102.9</v>
      </c>
      <c r="FA13" s="98">
        <f t="shared" si="55"/>
        <v>91.235059760956176</v>
      </c>
      <c r="FB13" s="198">
        <f t="shared" si="8"/>
        <v>17.168262653898768</v>
      </c>
      <c r="FC13" s="98">
        <f t="shared" si="9"/>
        <v>15.716148514171985</v>
      </c>
      <c r="FD13" s="182">
        <v>25</v>
      </c>
      <c r="FE13" s="229">
        <v>30</v>
      </c>
      <c r="FF13" s="344">
        <v>14</v>
      </c>
      <c r="FG13" s="98">
        <v>116</v>
      </c>
      <c r="FH13" s="98">
        <f t="shared" si="56"/>
        <v>46.666666666666664</v>
      </c>
      <c r="FI13" s="198">
        <f t="shared" si="10"/>
        <v>205.19835841313269</v>
      </c>
      <c r="FJ13" s="98">
        <f t="shared" si="11"/>
        <v>96.08125729188113</v>
      </c>
      <c r="FK13" s="120"/>
      <c r="FL13" s="120"/>
      <c r="FM13" s="118"/>
      <c r="FN13" s="122"/>
      <c r="FO13" s="118"/>
      <c r="FP13" s="118"/>
      <c r="FQ13" s="283">
        <v>4353</v>
      </c>
      <c r="FR13" s="184">
        <v>3579</v>
      </c>
      <c r="FS13" s="231">
        <v>5876</v>
      </c>
      <c r="FT13" s="47">
        <f t="shared" si="57"/>
        <v>5.9242231766579962</v>
      </c>
      <c r="FU13" s="98">
        <v>75.099999999999994</v>
      </c>
      <c r="FV13" s="98">
        <f t="shared" si="58"/>
        <v>164.17993853031575</v>
      </c>
      <c r="FW13" s="198">
        <f t="shared" si="12"/>
        <v>244.80164158686731</v>
      </c>
      <c r="FX13" s="98">
        <f t="shared" si="13"/>
        <v>403.26676274792396</v>
      </c>
      <c r="FY13" s="125"/>
      <c r="FZ13" s="125"/>
      <c r="GA13" s="125"/>
      <c r="GB13" s="188">
        <v>65070.003999999994</v>
      </c>
      <c r="GC13" s="284">
        <v>79338.8</v>
      </c>
      <c r="GD13" s="188">
        <v>88214.97</v>
      </c>
      <c r="GE13" s="47">
        <f t="shared" si="59"/>
        <v>88.214970000000008</v>
      </c>
      <c r="GF13" s="47">
        <f t="shared" si="84"/>
        <v>3.7989313963874021</v>
      </c>
      <c r="GG13" s="198">
        <f t="shared" si="60"/>
        <v>121.92837732113864</v>
      </c>
      <c r="GH13" s="98">
        <f t="shared" si="61"/>
        <v>111.18767866415928</v>
      </c>
      <c r="GI13" s="48">
        <v>3.19</v>
      </c>
      <c r="GJ13" s="48">
        <v>2.5</v>
      </c>
      <c r="GK13" s="47">
        <f t="shared" si="62"/>
        <v>78.369905956112845</v>
      </c>
      <c r="GL13" s="98">
        <v>81</v>
      </c>
      <c r="GM13" s="98">
        <v>80.7</v>
      </c>
      <c r="GN13" s="47"/>
      <c r="GO13" s="285"/>
      <c r="GP13" s="286"/>
      <c r="GQ13" s="287"/>
      <c r="GR13" s="286"/>
      <c r="GS13" s="288"/>
      <c r="GT13" s="98">
        <v>69</v>
      </c>
      <c r="GU13" s="98">
        <v>72.599999999999994</v>
      </c>
      <c r="GV13" s="47">
        <f t="shared" si="63"/>
        <v>105.21739130434781</v>
      </c>
      <c r="GW13" s="45"/>
      <c r="GX13" s="158"/>
      <c r="GY13" s="98">
        <v>5.2</v>
      </c>
      <c r="GZ13" s="98">
        <v>4.2</v>
      </c>
      <c r="HA13" s="47">
        <v>80.769230769230774</v>
      </c>
      <c r="HB13" s="98">
        <f>'[1]У-Кан'!$D13</f>
        <v>81.8</v>
      </c>
      <c r="HC13" s="98">
        <v>391.5</v>
      </c>
      <c r="HD13" s="98">
        <v>215.3</v>
      </c>
      <c r="HE13" s="98">
        <f t="shared" si="81"/>
        <v>54.993614303959134</v>
      </c>
      <c r="HF13" s="47"/>
      <c r="HG13" s="98">
        <v>6</v>
      </c>
      <c r="HH13" s="98"/>
    </row>
    <row r="14" spans="1:216" ht="21.6" customHeight="1">
      <c r="A14" s="49" t="s">
        <v>41</v>
      </c>
      <c r="B14" s="145">
        <v>16231</v>
      </c>
      <c r="C14" s="145">
        <v>16133</v>
      </c>
      <c r="D14" s="100">
        <v>552514</v>
      </c>
      <c r="E14" s="101">
        <v>647498</v>
      </c>
      <c r="F14" s="101">
        <v>896529.4</v>
      </c>
      <c r="G14" s="44">
        <f t="shared" si="14"/>
        <v>5.231894407831593</v>
      </c>
      <c r="H14" s="45">
        <f t="shared" si="15"/>
        <v>5</v>
      </c>
      <c r="I14" s="198">
        <f t="shared" si="16"/>
        <v>117.19123859304923</v>
      </c>
      <c r="J14" s="98">
        <f t="shared" si="17"/>
        <v>138.46056667356501</v>
      </c>
      <c r="K14" s="148">
        <f t="shared" si="18"/>
        <v>2</v>
      </c>
      <c r="L14" s="44">
        <f t="shared" si="19"/>
        <v>39.8926745117368</v>
      </c>
      <c r="M14" s="149">
        <f t="shared" si="19"/>
        <v>55.571152296535054</v>
      </c>
      <c r="N14" s="148">
        <f t="shared" si="0"/>
        <v>4</v>
      </c>
      <c r="O14" s="232">
        <v>156152.5</v>
      </c>
      <c r="P14" s="334">
        <v>300377.90000000002</v>
      </c>
      <c r="Q14" s="334">
        <v>211207.6</v>
      </c>
      <c r="R14" s="265">
        <v>154.5</v>
      </c>
      <c r="S14" s="228">
        <v>75.2</v>
      </c>
      <c r="T14" s="267">
        <f t="shared" si="20"/>
        <v>18.506432136035983</v>
      </c>
      <c r="U14" s="98">
        <f t="shared" si="21"/>
        <v>13.091650653939132</v>
      </c>
      <c r="V14" s="100">
        <v>2164573.6999999997</v>
      </c>
      <c r="W14" s="100">
        <v>2083.9361017840301</v>
      </c>
      <c r="X14" s="100">
        <v>2284.3406</v>
      </c>
      <c r="Y14" s="100">
        <v>99</v>
      </c>
      <c r="Z14" s="100">
        <v>103.2</v>
      </c>
      <c r="AA14" s="98">
        <f t="shared" si="64"/>
        <v>128.39234192496028</v>
      </c>
      <c r="AB14" s="98">
        <f t="shared" si="65"/>
        <v>141.59428500588857</v>
      </c>
      <c r="AC14" s="119"/>
      <c r="AD14" s="100">
        <v>1823.3919000000001</v>
      </c>
      <c r="AE14" s="100">
        <v>1848.8522</v>
      </c>
      <c r="AF14" s="100">
        <v>100.3</v>
      </c>
      <c r="AG14" s="100">
        <v>100</v>
      </c>
      <c r="AH14" s="158">
        <f t="shared" si="22"/>
        <v>112.34008379027786</v>
      </c>
      <c r="AI14" s="98">
        <f t="shared" si="66"/>
        <v>114.60064464141821</v>
      </c>
      <c r="AJ14" s="119"/>
      <c r="AK14" s="100">
        <v>354.4162</v>
      </c>
      <c r="AL14" s="100">
        <v>435.48840000000001</v>
      </c>
      <c r="AM14" s="164">
        <f t="shared" si="23"/>
        <v>19064.07477063622</v>
      </c>
      <c r="AN14" s="100">
        <v>92.8</v>
      </c>
      <c r="AO14" s="100">
        <v>119.5</v>
      </c>
      <c r="AP14" s="44">
        <f t="shared" si="1"/>
        <v>21.835758733288152</v>
      </c>
      <c r="AQ14" s="98">
        <f t="shared" si="2"/>
        <v>26.993640364470341</v>
      </c>
      <c r="AR14" s="119"/>
      <c r="AS14" s="46">
        <v>2495.8000000000002</v>
      </c>
      <c r="AT14" s="46">
        <v>2523.2199999999993</v>
      </c>
      <c r="AU14" s="46">
        <v>104.2</v>
      </c>
      <c r="AV14" s="46">
        <f t="shared" si="67"/>
        <v>101.09864572481766</v>
      </c>
      <c r="AW14" s="46">
        <f t="shared" si="24"/>
        <v>153.76748197892923</v>
      </c>
      <c r="AX14" s="46">
        <f t="shared" si="25"/>
        <v>156.40116531333288</v>
      </c>
      <c r="AY14" s="117"/>
      <c r="AZ14" s="46">
        <v>15279.45</v>
      </c>
      <c r="BA14" s="46">
        <v>15509.92</v>
      </c>
      <c r="BB14" s="46">
        <v>98</v>
      </c>
      <c r="BC14" s="99">
        <f t="shared" si="26"/>
        <v>101.50836581159662</v>
      </c>
      <c r="BD14" s="44">
        <f t="shared" si="27"/>
        <v>941.37453021994952</v>
      </c>
      <c r="BE14" s="147">
        <f t="shared" si="28"/>
        <v>961.3785408789438</v>
      </c>
      <c r="BF14" s="136"/>
      <c r="BG14" s="46">
        <v>4786.058</v>
      </c>
      <c r="BH14" s="46">
        <v>4264.7210000000005</v>
      </c>
      <c r="BI14" s="46">
        <v>103.4</v>
      </c>
      <c r="BJ14" s="46">
        <f t="shared" si="68"/>
        <v>89.107173377338938</v>
      </c>
      <c r="BK14" s="44">
        <f t="shared" si="29"/>
        <v>294.87141888977879</v>
      </c>
      <c r="BL14" s="44">
        <f t="shared" si="30"/>
        <v>264.34767247257179</v>
      </c>
      <c r="BM14" s="221">
        <v>22269</v>
      </c>
      <c r="BN14" s="175">
        <v>19525</v>
      </c>
      <c r="BO14" s="175">
        <v>19054</v>
      </c>
      <c r="BP14" s="224">
        <f t="shared" si="69"/>
        <v>87.677937940634962</v>
      </c>
      <c r="BQ14" s="96">
        <f t="shared" si="31"/>
        <v>97.5877080665813</v>
      </c>
      <c r="BR14" s="44">
        <f t="shared" si="70"/>
        <v>-2.4122919334187003</v>
      </c>
      <c r="BS14" s="44">
        <f t="shared" si="71"/>
        <v>-471</v>
      </c>
      <c r="BT14" s="158">
        <f t="shared" si="32"/>
        <v>1.2029449818249029</v>
      </c>
      <c r="BU14" s="158">
        <f t="shared" si="33"/>
        <v>1.1810574598648733</v>
      </c>
      <c r="BV14" s="221">
        <v>44373</v>
      </c>
      <c r="BW14" s="175">
        <v>44750</v>
      </c>
      <c r="BX14" s="175">
        <v>43774</v>
      </c>
      <c r="BY14" s="224">
        <f t="shared" si="34"/>
        <v>100.84961575732991</v>
      </c>
      <c r="BZ14" s="96">
        <f t="shared" si="35"/>
        <v>97.818994413407822</v>
      </c>
      <c r="CA14" s="44">
        <f t="shared" si="72"/>
        <v>2.7570698046947202</v>
      </c>
      <c r="CB14" s="44">
        <f t="shared" si="72"/>
        <v>2.7133205231513049</v>
      </c>
      <c r="CC14" s="44"/>
      <c r="CD14" s="175">
        <v>15577</v>
      </c>
      <c r="CE14" s="175">
        <v>16664</v>
      </c>
      <c r="CF14" s="46">
        <v>102.1</v>
      </c>
      <c r="CG14" s="46">
        <f t="shared" si="73"/>
        <v>106.97823714450794</v>
      </c>
      <c r="CH14" s="158">
        <f t="shared" si="36"/>
        <v>0.9597067340274783</v>
      </c>
      <c r="CI14" s="158">
        <f t="shared" si="37"/>
        <v>1.0329139031798178</v>
      </c>
      <c r="CJ14" s="46">
        <f>'[1]У-Кокса'!$D31</f>
        <v>23979</v>
      </c>
      <c r="CK14" s="175">
        <v>24013</v>
      </c>
      <c r="CL14" s="175">
        <v>24650</v>
      </c>
      <c r="CM14" s="46">
        <v>100.1</v>
      </c>
      <c r="CN14" s="46">
        <f t="shared" si="74"/>
        <v>102.65272977137383</v>
      </c>
      <c r="CO14" s="158">
        <f t="shared" si="75"/>
        <v>1479.4528987739511</v>
      </c>
      <c r="CP14" s="158">
        <f t="shared" si="76"/>
        <v>1518.698786273181</v>
      </c>
      <c r="CQ14" s="134"/>
      <c r="CR14" s="148">
        <v>32</v>
      </c>
      <c r="CS14" s="148">
        <v>32</v>
      </c>
      <c r="CT14" s="46">
        <v>64.7</v>
      </c>
      <c r="CU14" s="46">
        <f t="shared" si="82"/>
        <v>100</v>
      </c>
      <c r="CV14" s="193">
        <f t="shared" si="77"/>
        <v>1.9715359497258331</v>
      </c>
      <c r="CW14" s="193">
        <f t="shared" si="78"/>
        <v>1.9835120560342157</v>
      </c>
      <c r="CX14" s="134"/>
      <c r="CY14" s="46">
        <v>23.7</v>
      </c>
      <c r="CZ14" s="270">
        <v>21.1</v>
      </c>
      <c r="DA14" s="46">
        <v>111.8</v>
      </c>
      <c r="DB14" s="46">
        <f t="shared" si="83"/>
        <v>89.029535864978911</v>
      </c>
      <c r="DC14" s="50">
        <f t="shared" si="79"/>
        <v>1.4601688127656951</v>
      </c>
      <c r="DD14" s="50">
        <f t="shared" si="38"/>
        <v>1.3078782619475611</v>
      </c>
      <c r="DE14" s="258">
        <v>265.65899999999999</v>
      </c>
      <c r="DF14" s="259">
        <v>4262.7560000000003</v>
      </c>
      <c r="DG14" s="251">
        <f t="shared" si="39"/>
        <v>6266.2513200000003</v>
      </c>
      <c r="DH14" s="46">
        <v>107.61109180280677</v>
      </c>
      <c r="DI14" s="44">
        <v>1473.8650412639986</v>
      </c>
      <c r="DJ14" s="44">
        <f t="shared" si="3"/>
        <v>16.367383402131722</v>
      </c>
      <c r="DK14" s="44">
        <f t="shared" si="40"/>
        <v>264.22587243538089</v>
      </c>
      <c r="DL14" s="255">
        <v>232.39500000000001</v>
      </c>
      <c r="DM14" s="256">
        <v>4204.8450000000003</v>
      </c>
      <c r="DN14" s="44">
        <f t="shared" si="4"/>
        <v>1809.3526108565156</v>
      </c>
      <c r="DO14" s="44">
        <f t="shared" si="41"/>
        <v>14.317971782391719</v>
      </c>
      <c r="DP14" s="44">
        <f t="shared" si="42"/>
        <v>260.63627347672474</v>
      </c>
      <c r="DQ14" s="180">
        <v>140.315</v>
      </c>
      <c r="DR14" s="261">
        <v>684.03700000000003</v>
      </c>
      <c r="DS14" s="44">
        <f t="shared" si="5"/>
        <v>487.5009799379967</v>
      </c>
      <c r="DT14" s="44">
        <f t="shared" si="43"/>
        <v>8.6448770870556348</v>
      </c>
      <c r="DU14" s="44">
        <f t="shared" si="44"/>
        <v>42.399863633546147</v>
      </c>
      <c r="DV14" s="250">
        <f t="shared" si="45"/>
        <v>92.080000000000013</v>
      </c>
      <c r="DW14" s="251">
        <f t="shared" si="46"/>
        <v>3520.808</v>
      </c>
      <c r="DX14" s="198">
        <f t="shared" si="47"/>
        <v>32.848892266738225</v>
      </c>
      <c r="DY14" s="198">
        <v>134.69999999999999</v>
      </c>
      <c r="DZ14" s="98">
        <f t="shared" si="48"/>
        <v>3823.6403127715021</v>
      </c>
      <c r="EA14" s="44">
        <f t="shared" si="6"/>
        <v>5.6730946953360863</v>
      </c>
      <c r="EB14" s="44">
        <f t="shared" si="49"/>
        <v>218.23640984317859</v>
      </c>
      <c r="EC14" s="151"/>
      <c r="ED14" s="154">
        <v>452</v>
      </c>
      <c r="EE14" s="154">
        <v>465</v>
      </c>
      <c r="EF14" s="100">
        <v>103</v>
      </c>
      <c r="EG14" s="98">
        <f>EE14/ED14*100</f>
        <v>102.87610619469028</v>
      </c>
      <c r="EH14" s="198">
        <f t="shared" si="50"/>
        <v>278.47945289877396</v>
      </c>
      <c r="EI14" s="198">
        <f t="shared" si="51"/>
        <v>288.22909564247198</v>
      </c>
      <c r="EJ14" s="131">
        <v>243146.7</v>
      </c>
      <c r="EK14" s="98">
        <f>339812+149434</f>
        <v>489246</v>
      </c>
      <c r="EL14" s="98">
        <f>275174+197998</f>
        <v>473172</v>
      </c>
      <c r="EM14" s="98">
        <f t="shared" si="52"/>
        <v>473.17200000000003</v>
      </c>
      <c r="EN14" s="98">
        <v>88</v>
      </c>
      <c r="EO14" s="98">
        <f t="shared" si="80"/>
        <v>96.714536245569718</v>
      </c>
      <c r="EP14" s="198">
        <f t="shared" si="53"/>
        <v>30.142689914361409</v>
      </c>
      <c r="EQ14" s="198">
        <f t="shared" si="54"/>
        <v>29.329448955556934</v>
      </c>
      <c r="ER14" s="124">
        <v>700</v>
      </c>
      <c r="ES14" s="154">
        <v>886</v>
      </c>
      <c r="ET14" s="154">
        <v>788</v>
      </c>
      <c r="EU14" s="100">
        <v>106</v>
      </c>
      <c r="EV14" s="44">
        <f t="shared" si="7"/>
        <v>88.939051918735885</v>
      </c>
      <c r="EW14" s="148">
        <v>319</v>
      </c>
      <c r="EX14" s="227">
        <v>244</v>
      </c>
      <c r="EY14" s="345">
        <v>230</v>
      </c>
      <c r="EZ14" s="100">
        <v>102.9</v>
      </c>
      <c r="FA14" s="98">
        <f t="shared" si="55"/>
        <v>94.262295081967224</v>
      </c>
      <c r="FB14" s="198">
        <f t="shared" si="8"/>
        <v>15.032961616659479</v>
      </c>
      <c r="FC14" s="98">
        <f t="shared" si="9"/>
        <v>14.256492902745924</v>
      </c>
      <c r="FD14" s="182">
        <v>27</v>
      </c>
      <c r="FE14" s="229">
        <v>33</v>
      </c>
      <c r="FF14" s="345">
        <v>31</v>
      </c>
      <c r="FG14" s="100">
        <v>94.3</v>
      </c>
      <c r="FH14" s="98">
        <f t="shared" si="56"/>
        <v>93.939393939393938</v>
      </c>
      <c r="FI14" s="198">
        <f t="shared" si="10"/>
        <v>203.31464481547656</v>
      </c>
      <c r="FJ14" s="98">
        <f t="shared" si="11"/>
        <v>192.15273042831464</v>
      </c>
      <c r="FK14" s="120"/>
      <c r="FL14" s="120"/>
      <c r="FM14" s="118"/>
      <c r="FN14" s="132"/>
      <c r="FO14" s="118"/>
      <c r="FP14" s="118"/>
      <c r="FQ14" s="185">
        <v>5561</v>
      </c>
      <c r="FR14" s="184">
        <v>5950</v>
      </c>
      <c r="FS14" s="231">
        <v>6585</v>
      </c>
      <c r="FT14" s="47">
        <f t="shared" si="57"/>
        <v>6.6390418002540681</v>
      </c>
      <c r="FU14" s="100">
        <v>71.8</v>
      </c>
      <c r="FV14" s="98">
        <f t="shared" si="58"/>
        <v>110.67226890756304</v>
      </c>
      <c r="FW14" s="198">
        <f t="shared" si="12"/>
        <v>366.58246565214716</v>
      </c>
      <c r="FX14" s="98">
        <f t="shared" si="13"/>
        <v>408.16959028079094</v>
      </c>
      <c r="FY14" s="133"/>
      <c r="FZ14" s="133"/>
      <c r="GA14" s="133"/>
      <c r="GB14" s="189">
        <v>93471.312999999995</v>
      </c>
      <c r="GC14" s="201">
        <v>98805.12999999999</v>
      </c>
      <c r="GD14" s="190">
        <v>129577.22</v>
      </c>
      <c r="GE14" s="166">
        <f t="shared" si="59"/>
        <v>129.57722000000001</v>
      </c>
      <c r="GF14" s="166">
        <f t="shared" si="84"/>
        <v>5.580174989739243</v>
      </c>
      <c r="GG14" s="202">
        <f t="shared" si="60"/>
        <v>105.70636789920775</v>
      </c>
      <c r="GH14" s="163">
        <f t="shared" si="61"/>
        <v>131.14422297708632</v>
      </c>
      <c r="GI14" s="48">
        <v>1.98</v>
      </c>
      <c r="GJ14" s="50">
        <v>2.08</v>
      </c>
      <c r="GK14" s="47">
        <f t="shared" si="62"/>
        <v>105.05050505050507</v>
      </c>
      <c r="GL14" s="100">
        <v>0</v>
      </c>
      <c r="GM14" s="100">
        <v>91.4</v>
      </c>
      <c r="GN14" s="166"/>
      <c r="GO14" s="127"/>
      <c r="GP14" s="128"/>
      <c r="GQ14" s="129"/>
      <c r="GR14" s="128"/>
      <c r="GS14" s="130"/>
      <c r="GT14" s="100">
        <v>76</v>
      </c>
      <c r="GU14" s="100">
        <v>78.5</v>
      </c>
      <c r="GV14" s="166">
        <f t="shared" si="63"/>
        <v>103.28947368421053</v>
      </c>
      <c r="GW14" s="113"/>
      <c r="GX14" s="114"/>
      <c r="GY14" s="100">
        <v>5</v>
      </c>
      <c r="GZ14" s="100">
        <v>7.6</v>
      </c>
      <c r="HA14" s="166">
        <v>152</v>
      </c>
      <c r="HB14" s="100">
        <f>'[1]У-Кокса'!$D13</f>
        <v>40.6</v>
      </c>
      <c r="HC14" s="100">
        <v>300.5</v>
      </c>
      <c r="HD14" s="100">
        <v>111.8</v>
      </c>
      <c r="HE14" s="98">
        <f t="shared" si="81"/>
        <v>37.204658901830285</v>
      </c>
      <c r="HF14" s="166"/>
      <c r="HG14" s="100">
        <v>3</v>
      </c>
      <c r="HH14" s="100"/>
    </row>
    <row r="15" spans="1:216" s="68" customFormat="1" ht="21" customHeight="1">
      <c r="A15" s="161" t="s">
        <v>42</v>
      </c>
      <c r="B15" s="162">
        <v>10450</v>
      </c>
      <c r="C15" s="162">
        <v>10631</v>
      </c>
      <c r="D15" s="163">
        <v>278392.5</v>
      </c>
      <c r="E15" s="163">
        <v>368035.1</v>
      </c>
      <c r="F15" s="163">
        <v>356587.7</v>
      </c>
      <c r="G15" s="164">
        <f t="shared" si="14"/>
        <v>2.0809459160307844</v>
      </c>
      <c r="H15" s="113">
        <f t="shared" si="15"/>
        <v>10</v>
      </c>
      <c r="I15" s="198">
        <f t="shared" si="16"/>
        <v>132.20007722909202</v>
      </c>
      <c r="J15" s="98">
        <f t="shared" si="17"/>
        <v>96.889590150504674</v>
      </c>
      <c r="K15" s="113">
        <f t="shared" si="18"/>
        <v>7</v>
      </c>
      <c r="L15" s="164">
        <f t="shared" si="19"/>
        <v>35.218669856459329</v>
      </c>
      <c r="M15" s="164">
        <f>F15/C15</f>
        <v>33.542253786097262</v>
      </c>
      <c r="N15" s="113">
        <f t="shared" si="0"/>
        <v>10</v>
      </c>
      <c r="O15" s="233">
        <v>18841.5</v>
      </c>
      <c r="P15" s="334">
        <v>18765.7</v>
      </c>
      <c r="Q15" s="334">
        <v>15688.7</v>
      </c>
      <c r="R15" s="266">
        <v>75.400000000000006</v>
      </c>
      <c r="S15" s="228">
        <v>109.6</v>
      </c>
      <c r="T15" s="267">
        <f t="shared" si="20"/>
        <v>1.7957607655502392</v>
      </c>
      <c r="U15" s="98">
        <f t="shared" si="21"/>
        <v>1.4757501646129245</v>
      </c>
      <c r="V15" s="163">
        <v>495101.5</v>
      </c>
      <c r="W15" s="100">
        <v>379.88484771847197</v>
      </c>
      <c r="X15" s="100">
        <v>391.4828</v>
      </c>
      <c r="Y15" s="100">
        <v>99.8</v>
      </c>
      <c r="Z15" s="100">
        <v>98.1</v>
      </c>
      <c r="AA15" s="98">
        <f t="shared" si="64"/>
        <v>36.352617006552343</v>
      </c>
      <c r="AB15" s="98">
        <f t="shared" si="65"/>
        <v>36.824644906405794</v>
      </c>
      <c r="AC15" s="165"/>
      <c r="AD15" s="100">
        <v>286.62759999999997</v>
      </c>
      <c r="AE15" s="100">
        <v>284.58339999999998</v>
      </c>
      <c r="AF15" s="100">
        <v>99.2</v>
      </c>
      <c r="AG15" s="100">
        <v>99.9</v>
      </c>
      <c r="AH15" s="114">
        <f t="shared" si="22"/>
        <v>27.42847846889952</v>
      </c>
      <c r="AI15" s="98">
        <f t="shared" si="66"/>
        <v>26.76920327344558</v>
      </c>
      <c r="AJ15" s="165"/>
      <c r="AK15" s="100">
        <v>110.2457</v>
      </c>
      <c r="AL15" s="100">
        <v>106.8994</v>
      </c>
      <c r="AM15" s="164">
        <f t="shared" si="23"/>
        <v>27306.282677042258</v>
      </c>
      <c r="AN15" s="100">
        <v>101.2</v>
      </c>
      <c r="AO15" s="100">
        <v>93.5</v>
      </c>
      <c r="AP15" s="164">
        <f t="shared" si="1"/>
        <v>10.549827751196172</v>
      </c>
      <c r="AQ15" s="163">
        <f t="shared" si="2"/>
        <v>10.055441632960211</v>
      </c>
      <c r="AR15" s="165"/>
      <c r="AS15" s="164">
        <v>41.7</v>
      </c>
      <c r="AT15" s="164">
        <v>31.190000000000055</v>
      </c>
      <c r="AU15" s="164">
        <v>97.7</v>
      </c>
      <c r="AV15" s="46">
        <f t="shared" si="67"/>
        <v>74.796163069544491</v>
      </c>
      <c r="AW15" s="164">
        <f t="shared" si="24"/>
        <v>3.9904306220095696</v>
      </c>
      <c r="AX15" s="164">
        <f t="shared" si="25"/>
        <v>2.9338726366287324</v>
      </c>
      <c r="AY15" s="167"/>
      <c r="AZ15" s="164">
        <v>2635.53</v>
      </c>
      <c r="BA15" s="164">
        <v>2609.4900000000002</v>
      </c>
      <c r="BB15" s="164">
        <v>97</v>
      </c>
      <c r="BC15" s="99">
        <f t="shared" si="26"/>
        <v>99.011963438094043</v>
      </c>
      <c r="BD15" s="164">
        <f t="shared" si="27"/>
        <v>252.2038277511962</v>
      </c>
      <c r="BE15" s="168">
        <f t="shared" si="28"/>
        <v>245.46044586586402</v>
      </c>
      <c r="BF15" s="169"/>
      <c r="BG15" s="164">
        <v>774.30899999999997</v>
      </c>
      <c r="BH15" s="164">
        <v>838.80000000000007</v>
      </c>
      <c r="BI15" s="164">
        <v>105.7</v>
      </c>
      <c r="BJ15" s="46">
        <f t="shared" si="68"/>
        <v>108.32884546092065</v>
      </c>
      <c r="BK15" s="164">
        <f t="shared" si="29"/>
        <v>74.096555023923443</v>
      </c>
      <c r="BL15" s="164">
        <f t="shared" si="30"/>
        <v>78.901326309848557</v>
      </c>
      <c r="BM15" s="222">
        <v>4170</v>
      </c>
      <c r="BN15" s="171">
        <v>4030</v>
      </c>
      <c r="BO15" s="171">
        <v>3833</v>
      </c>
      <c r="BP15" s="224">
        <f t="shared" si="69"/>
        <v>96.642685851318944</v>
      </c>
      <c r="BQ15" s="96">
        <f t="shared" si="31"/>
        <v>95.111662531017373</v>
      </c>
      <c r="BR15" s="44">
        <f t="shared" si="70"/>
        <v>-4.8883374689826269</v>
      </c>
      <c r="BS15" s="44">
        <f t="shared" si="71"/>
        <v>-197</v>
      </c>
      <c r="BT15" s="114">
        <f t="shared" si="32"/>
        <v>0.38564593301435407</v>
      </c>
      <c r="BU15" s="114">
        <f t="shared" si="33"/>
        <v>0.36054933684507573</v>
      </c>
      <c r="BV15" s="222">
        <v>3493</v>
      </c>
      <c r="BW15" s="171">
        <v>3164</v>
      </c>
      <c r="BX15" s="171">
        <v>2439</v>
      </c>
      <c r="BY15" s="224">
        <f t="shared" si="34"/>
        <v>90.581162324649299</v>
      </c>
      <c r="BZ15" s="96">
        <f t="shared" si="35"/>
        <v>77.085967130214911</v>
      </c>
      <c r="CA15" s="44">
        <f t="shared" si="72"/>
        <v>0.30277511961722486</v>
      </c>
      <c r="CB15" s="44">
        <f t="shared" si="72"/>
        <v>0.22942338444172702</v>
      </c>
      <c r="CC15" s="44"/>
      <c r="CD15" s="171">
        <v>4231</v>
      </c>
      <c r="CE15" s="171">
        <v>4732</v>
      </c>
      <c r="CF15" s="164">
        <v>103.9</v>
      </c>
      <c r="CG15" s="46">
        <f t="shared" si="73"/>
        <v>111.84117229969274</v>
      </c>
      <c r="CH15" s="114">
        <f t="shared" si="36"/>
        <v>0.40488038277511962</v>
      </c>
      <c r="CI15" s="114">
        <f t="shared" si="37"/>
        <v>0.44511334775656103</v>
      </c>
      <c r="CJ15" s="164">
        <f>[1]Чемал!$D31</f>
        <v>2160</v>
      </c>
      <c r="CK15" s="171">
        <v>2328</v>
      </c>
      <c r="CL15" s="171">
        <v>2451</v>
      </c>
      <c r="CM15" s="164">
        <v>107.8</v>
      </c>
      <c r="CN15" s="46">
        <f t="shared" si="74"/>
        <v>105.28350515463917</v>
      </c>
      <c r="CO15" s="158">
        <f t="shared" si="75"/>
        <v>222.77511961722487</v>
      </c>
      <c r="CP15" s="158">
        <f t="shared" si="76"/>
        <v>234.54545454545456</v>
      </c>
      <c r="CQ15" s="174"/>
      <c r="CR15" s="113">
        <v>256</v>
      </c>
      <c r="CS15" s="113">
        <v>219</v>
      </c>
      <c r="CT15" s="164">
        <v>270</v>
      </c>
      <c r="CU15" s="46">
        <f t="shared" si="82"/>
        <v>85.546875</v>
      </c>
      <c r="CV15" s="193">
        <f t="shared" si="77"/>
        <v>24.497607655502392</v>
      </c>
      <c r="CW15" s="193">
        <f t="shared" si="78"/>
        <v>20.600131690339573</v>
      </c>
      <c r="CX15" s="174"/>
      <c r="CY15" s="164">
        <v>69.100000000000009</v>
      </c>
      <c r="CZ15" s="271">
        <v>75.2</v>
      </c>
      <c r="DA15" s="164">
        <v>93</v>
      </c>
      <c r="DB15" s="46">
        <f t="shared" si="83"/>
        <v>108.82778581765555</v>
      </c>
      <c r="DC15" s="50">
        <f t="shared" si="79"/>
        <v>6.6124401913875612</v>
      </c>
      <c r="DD15" s="50">
        <f t="shared" si="38"/>
        <v>7.0736525256325837</v>
      </c>
      <c r="DE15" s="260">
        <v>104.49299999999999</v>
      </c>
      <c r="DF15" s="261">
        <v>972.21</v>
      </c>
      <c r="DG15" s="251">
        <f t="shared" si="39"/>
        <v>1429.1487</v>
      </c>
      <c r="DH15" s="164">
        <v>159.63969092841975</v>
      </c>
      <c r="DI15" s="164">
        <v>854.60349178798094</v>
      </c>
      <c r="DJ15" s="44">
        <f t="shared" si="3"/>
        <v>9.9993301435406696</v>
      </c>
      <c r="DK15" s="44">
        <f t="shared" si="40"/>
        <v>91.450475025867746</v>
      </c>
      <c r="DL15" s="114">
        <v>104.49299999999999</v>
      </c>
      <c r="DM15" s="257">
        <v>952.65899999999999</v>
      </c>
      <c r="DN15" s="44">
        <f t="shared" si="4"/>
        <v>911.69647727598976</v>
      </c>
      <c r="DO15" s="44">
        <f t="shared" si="41"/>
        <v>9.9993301435406696</v>
      </c>
      <c r="DP15" s="44">
        <f t="shared" si="42"/>
        <v>89.611419433731541</v>
      </c>
      <c r="DQ15" s="179">
        <v>50.137</v>
      </c>
      <c r="DR15" s="261">
        <v>51.003999999999998</v>
      </c>
      <c r="DS15" s="164">
        <f t="shared" si="5"/>
        <v>101.72926182260605</v>
      </c>
      <c r="DT15" s="44">
        <f t="shared" si="43"/>
        <v>4.7977990430622013</v>
      </c>
      <c r="DU15" s="44">
        <f t="shared" si="44"/>
        <v>4.7976671996989939</v>
      </c>
      <c r="DV15" s="250">
        <f t="shared" si="45"/>
        <v>54.355999999999995</v>
      </c>
      <c r="DW15" s="251">
        <f t="shared" si="46"/>
        <v>901.65499999999997</v>
      </c>
      <c r="DX15" s="198">
        <f t="shared" si="47"/>
        <v>8.4123780554821082</v>
      </c>
      <c r="DY15" s="198">
        <v>156.30000000000001</v>
      </c>
      <c r="DZ15" s="98">
        <f t="shared" si="48"/>
        <v>1658.7957171241446</v>
      </c>
      <c r="EA15" s="44">
        <f t="shared" si="6"/>
        <v>5.2015311004784683</v>
      </c>
      <c r="EB15" s="44">
        <f t="shared" si="49"/>
        <v>84.813752234032549</v>
      </c>
      <c r="EC15" s="170"/>
      <c r="ED15" s="154">
        <v>371</v>
      </c>
      <c r="EE15" s="154">
        <v>401</v>
      </c>
      <c r="EF15" s="163">
        <v>95.8</v>
      </c>
      <c r="EG15" s="98">
        <f>EE15/ED15*100</f>
        <v>108.08625336927224</v>
      </c>
      <c r="EH15" s="198">
        <f t="shared" si="50"/>
        <v>355.02392344497605</v>
      </c>
      <c r="EI15" s="198">
        <f t="shared" si="51"/>
        <v>377.19875834822687</v>
      </c>
      <c r="EJ15" s="167">
        <v>29155.5</v>
      </c>
      <c r="EK15" s="98">
        <f>31767.7</f>
        <v>31767.7</v>
      </c>
      <c r="EL15" s="98">
        <f>111918</f>
        <v>111918</v>
      </c>
      <c r="EM15" s="98">
        <f t="shared" si="52"/>
        <v>111.91800000000001</v>
      </c>
      <c r="EN15" s="98">
        <v>18.899999999999999</v>
      </c>
      <c r="EO15" s="98">
        <f t="shared" si="80"/>
        <v>352.30123679082845</v>
      </c>
      <c r="EP15" s="198">
        <f t="shared" si="53"/>
        <v>3.0399712918660287</v>
      </c>
      <c r="EQ15" s="198">
        <f t="shared" si="54"/>
        <v>10.527513874517918</v>
      </c>
      <c r="ER15" s="124">
        <v>59.7</v>
      </c>
      <c r="ES15" s="154">
        <v>35.700000000000003</v>
      </c>
      <c r="ET15" s="154">
        <v>71</v>
      </c>
      <c r="EU15" s="163">
        <v>89.1</v>
      </c>
      <c r="EV15" s="44">
        <f t="shared" si="7"/>
        <v>198.87955182072827</v>
      </c>
      <c r="EW15" s="113">
        <v>162</v>
      </c>
      <c r="EX15" s="346">
        <v>145</v>
      </c>
      <c r="EY15" s="345">
        <v>142</v>
      </c>
      <c r="EZ15" s="163">
        <v>87.3</v>
      </c>
      <c r="FA15" s="98">
        <f t="shared" si="55"/>
        <v>97.931034482758619</v>
      </c>
      <c r="FB15" s="198">
        <f t="shared" si="8"/>
        <v>13.875598086124402</v>
      </c>
      <c r="FC15" s="98">
        <f t="shared" si="9"/>
        <v>13.357163013827487</v>
      </c>
      <c r="FD15" s="183">
        <v>15</v>
      </c>
      <c r="FE15" s="230">
        <v>13</v>
      </c>
      <c r="FF15" s="345">
        <v>13</v>
      </c>
      <c r="FG15" s="163">
        <v>144.4</v>
      </c>
      <c r="FH15" s="98">
        <f t="shared" si="56"/>
        <v>100</v>
      </c>
      <c r="FI15" s="198">
        <f t="shared" si="10"/>
        <v>124.4019138755981</v>
      </c>
      <c r="FJ15" s="98">
        <f t="shared" si="11"/>
        <v>122.28388674630796</v>
      </c>
      <c r="FK15" s="172"/>
      <c r="FL15" s="172"/>
      <c r="FM15" s="165"/>
      <c r="FN15" s="126"/>
      <c r="FO15" s="165"/>
      <c r="FP15" s="165"/>
      <c r="FQ15" s="186">
        <v>8678</v>
      </c>
      <c r="FR15" s="187">
        <v>11092</v>
      </c>
      <c r="FS15" s="231">
        <v>9361</v>
      </c>
      <c r="FT15" s="166">
        <f t="shared" si="57"/>
        <v>9.4378238864355861</v>
      </c>
      <c r="FU15" s="163">
        <v>97.8</v>
      </c>
      <c r="FV15" s="98">
        <f t="shared" si="58"/>
        <v>84.394157951676888</v>
      </c>
      <c r="FW15" s="198">
        <f t="shared" si="12"/>
        <v>1061.4354066985645</v>
      </c>
      <c r="FX15" s="98">
        <f t="shared" si="13"/>
        <v>880.53804910168378</v>
      </c>
      <c r="FY15" s="173"/>
      <c r="FZ15" s="173"/>
      <c r="GA15" s="173"/>
      <c r="GB15" s="190">
        <v>93044.828000000009</v>
      </c>
      <c r="GC15" s="201">
        <v>113375.8</v>
      </c>
      <c r="GD15" s="190">
        <v>114808.66</v>
      </c>
      <c r="GE15" s="166">
        <f t="shared" si="59"/>
        <v>114.80866</v>
      </c>
      <c r="GF15" s="166">
        <f t="shared" si="84"/>
        <v>4.9441747024475156</v>
      </c>
      <c r="GG15" s="202">
        <f t="shared" si="60"/>
        <v>121.85072769439694</v>
      </c>
      <c r="GH15" s="163">
        <f t="shared" si="61"/>
        <v>101.26381467650063</v>
      </c>
      <c r="GI15" s="115">
        <v>2.34</v>
      </c>
      <c r="GJ15" s="115">
        <v>2.52</v>
      </c>
      <c r="GK15" s="47">
        <f t="shared" si="62"/>
        <v>107.69230769230771</v>
      </c>
      <c r="GL15" s="163">
        <v>48</v>
      </c>
      <c r="GM15" s="163">
        <v>53.6</v>
      </c>
      <c r="GN15" s="166"/>
      <c r="GO15" s="127"/>
      <c r="GP15" s="128"/>
      <c r="GQ15" s="129"/>
      <c r="GR15" s="128"/>
      <c r="GS15" s="130"/>
      <c r="GT15" s="163">
        <v>53</v>
      </c>
      <c r="GU15" s="163">
        <v>60</v>
      </c>
      <c r="GV15" s="166">
        <f t="shared" si="63"/>
        <v>113.20754716981132</v>
      </c>
      <c r="GW15" s="113"/>
      <c r="GX15" s="114"/>
      <c r="GY15" s="163">
        <v>5.9</v>
      </c>
      <c r="GZ15" s="163">
        <v>3.9</v>
      </c>
      <c r="HA15" s="166">
        <v>66.101694915254228</v>
      </c>
      <c r="HB15" s="163">
        <f>[1]Чемал!$D13</f>
        <v>60.5</v>
      </c>
      <c r="HC15" s="163">
        <v>131.6</v>
      </c>
      <c r="HD15" s="163">
        <v>79.599999999999994</v>
      </c>
      <c r="HE15" s="340">
        <f>HD15/HC15*100</f>
        <v>60.486322188449847</v>
      </c>
      <c r="HF15" s="166"/>
      <c r="HG15" s="163">
        <v>3</v>
      </c>
      <c r="HH15" s="163"/>
    </row>
    <row r="16" spans="1:216" ht="19.5" customHeight="1">
      <c r="A16" s="49" t="s">
        <v>43</v>
      </c>
      <c r="B16" s="145">
        <v>8254</v>
      </c>
      <c r="C16" s="145">
        <v>8128</v>
      </c>
      <c r="D16" s="100">
        <v>481989.6</v>
      </c>
      <c r="E16" s="101">
        <v>330566.60000000003</v>
      </c>
      <c r="F16" s="101">
        <v>373709.10000000003</v>
      </c>
      <c r="G16" s="44">
        <f t="shared" si="14"/>
        <v>2.1808616097205262</v>
      </c>
      <c r="H16" s="45">
        <f t="shared" si="15"/>
        <v>9</v>
      </c>
      <c r="I16" s="198">
        <f t="shared" si="16"/>
        <v>68.583761973287409</v>
      </c>
      <c r="J16" s="98">
        <f t="shared" si="17"/>
        <v>113.05107654554331</v>
      </c>
      <c r="K16" s="148">
        <f t="shared" si="18"/>
        <v>3</v>
      </c>
      <c r="L16" s="44">
        <f t="shared" si="19"/>
        <v>40.049260964380913</v>
      </c>
      <c r="M16" s="46">
        <f t="shared" si="19"/>
        <v>45.977989665354336</v>
      </c>
      <c r="N16" s="148">
        <f t="shared" si="0"/>
        <v>6</v>
      </c>
      <c r="O16" s="232">
        <v>376678.7</v>
      </c>
      <c r="P16" s="334">
        <v>225630.1</v>
      </c>
      <c r="Q16" s="334">
        <v>249530.1</v>
      </c>
      <c r="R16" s="338">
        <v>132</v>
      </c>
      <c r="S16" s="339">
        <v>70.599999999999994</v>
      </c>
      <c r="T16" s="267">
        <f t="shared" si="20"/>
        <v>27.335849285195057</v>
      </c>
      <c r="U16" s="98">
        <f t="shared" si="21"/>
        <v>30.700061515748033</v>
      </c>
      <c r="V16" s="100">
        <v>323315.36927614134</v>
      </c>
      <c r="W16" s="100">
        <v>254.70155675309701</v>
      </c>
      <c r="X16" s="100">
        <v>277.6533</v>
      </c>
      <c r="Y16" s="100">
        <v>98.1</v>
      </c>
      <c r="Z16" s="100">
        <v>103.8</v>
      </c>
      <c r="AA16" s="98">
        <f t="shared" si="64"/>
        <v>30.857954537569302</v>
      </c>
      <c r="AB16" s="98">
        <f t="shared" si="65"/>
        <v>34.160100885826772</v>
      </c>
      <c r="AC16" s="119"/>
      <c r="AD16" s="100">
        <v>187.88589999999999</v>
      </c>
      <c r="AE16" s="100">
        <v>201.40100000000001</v>
      </c>
      <c r="AF16" s="100">
        <v>96.8</v>
      </c>
      <c r="AG16" s="100">
        <v>107.1</v>
      </c>
      <c r="AH16" s="158">
        <f t="shared" si="22"/>
        <v>22.763011873031257</v>
      </c>
      <c r="AI16" s="98">
        <f t="shared" si="66"/>
        <v>24.778666338582678</v>
      </c>
      <c r="AJ16" s="119"/>
      <c r="AK16" s="100">
        <v>80.41</v>
      </c>
      <c r="AL16" s="100">
        <v>76.252300000000005</v>
      </c>
      <c r="AM16" s="164">
        <f t="shared" si="23"/>
        <v>27463.134779957596</v>
      </c>
      <c r="AN16" s="100">
        <v>100.9</v>
      </c>
      <c r="AO16" s="100">
        <v>96.1</v>
      </c>
      <c r="AP16" s="44">
        <f t="shared" si="1"/>
        <v>9.7419433002180753</v>
      </c>
      <c r="AQ16" s="98">
        <f t="shared" si="2"/>
        <v>9.3814345472440941</v>
      </c>
      <c r="AR16" s="119"/>
      <c r="AS16" s="46">
        <v>1226.0999999999999</v>
      </c>
      <c r="AT16" s="46">
        <v>1926.1499999999999</v>
      </c>
      <c r="AU16" s="46">
        <v>104.1</v>
      </c>
      <c r="AV16" s="46">
        <f t="shared" si="67"/>
        <v>157.09566919500858</v>
      </c>
      <c r="AW16" s="46">
        <f t="shared" si="24"/>
        <v>148.5461594378483</v>
      </c>
      <c r="AX16" s="46">
        <f t="shared" si="25"/>
        <v>236.97711614173227</v>
      </c>
      <c r="AY16" s="117"/>
      <c r="AZ16" s="46">
        <v>3109.99</v>
      </c>
      <c r="BA16" s="46">
        <v>3811.7</v>
      </c>
      <c r="BB16" s="46">
        <v>99</v>
      </c>
      <c r="BC16" s="99">
        <f t="shared" si="26"/>
        <v>122.56309505818348</v>
      </c>
      <c r="BD16" s="44">
        <f t="shared" si="27"/>
        <v>376.78580082384292</v>
      </c>
      <c r="BE16" s="147">
        <f t="shared" si="28"/>
        <v>468.95915354330708</v>
      </c>
      <c r="BF16" s="136"/>
      <c r="BG16" s="46">
        <v>337.13</v>
      </c>
      <c r="BH16" s="46">
        <v>332.7</v>
      </c>
      <c r="BI16" s="46">
        <v>93.2</v>
      </c>
      <c r="BJ16" s="46">
        <f t="shared" si="68"/>
        <v>98.685966837718382</v>
      </c>
      <c r="BK16" s="44">
        <f t="shared" si="29"/>
        <v>40.844439059849769</v>
      </c>
      <c r="BL16" s="44">
        <f t="shared" si="30"/>
        <v>40.932578740157481</v>
      </c>
      <c r="BM16" s="221">
        <v>1874</v>
      </c>
      <c r="BN16" s="175">
        <v>2065</v>
      </c>
      <c r="BO16" s="175">
        <v>2121</v>
      </c>
      <c r="BP16" s="224">
        <f t="shared" si="69"/>
        <v>110.19210245464248</v>
      </c>
      <c r="BQ16" s="96">
        <f t="shared" si="31"/>
        <v>102.71186440677967</v>
      </c>
      <c r="BR16" s="44">
        <f t="shared" si="70"/>
        <v>2.711864406779668</v>
      </c>
      <c r="BS16" s="44">
        <f t="shared" si="71"/>
        <v>56</v>
      </c>
      <c r="BT16" s="158">
        <f t="shared" si="32"/>
        <v>0.25018173007026895</v>
      </c>
      <c r="BU16" s="158">
        <f t="shared" si="33"/>
        <v>0.26094980314960631</v>
      </c>
      <c r="BV16" s="221">
        <v>248</v>
      </c>
      <c r="BW16" s="175">
        <v>311</v>
      </c>
      <c r="BX16" s="175">
        <v>248</v>
      </c>
      <c r="BY16" s="224">
        <f t="shared" si="34"/>
        <v>125.40322580645163</v>
      </c>
      <c r="BZ16" s="96">
        <f t="shared" si="35"/>
        <v>79.742765273311903</v>
      </c>
      <c r="CA16" s="44">
        <f t="shared" si="72"/>
        <v>3.7678701235764479E-2</v>
      </c>
      <c r="CB16" s="44">
        <f t="shared" si="72"/>
        <v>3.0511811023622049E-2</v>
      </c>
      <c r="CC16" s="44"/>
      <c r="CD16" s="175">
        <v>323</v>
      </c>
      <c r="CE16" s="175">
        <v>365</v>
      </c>
      <c r="CF16" s="46">
        <v>97.9</v>
      </c>
      <c r="CG16" s="46">
        <f t="shared" si="73"/>
        <v>113.0030959752322</v>
      </c>
      <c r="CH16" s="158">
        <f t="shared" si="36"/>
        <v>3.9132541797916164E-2</v>
      </c>
      <c r="CI16" s="158">
        <f t="shared" si="37"/>
        <v>4.4906496062992123E-2</v>
      </c>
      <c r="CJ16" s="46">
        <f>[1]Чоя!$D31</f>
        <v>10</v>
      </c>
      <c r="CK16" s="175">
        <v>10</v>
      </c>
      <c r="CL16" s="175">
        <v>10</v>
      </c>
      <c r="CM16" s="46">
        <v>100</v>
      </c>
      <c r="CN16" s="46">
        <f t="shared" si="74"/>
        <v>100</v>
      </c>
      <c r="CO16" s="158">
        <f t="shared" si="75"/>
        <v>1.2115338017930699</v>
      </c>
      <c r="CP16" s="158">
        <f t="shared" si="76"/>
        <v>1.2115338017930699</v>
      </c>
      <c r="CQ16" s="134"/>
      <c r="CR16" s="105">
        <v>1.6</v>
      </c>
      <c r="CS16" s="105">
        <v>1.6</v>
      </c>
      <c r="CT16" s="46">
        <v>140</v>
      </c>
      <c r="CU16" s="46">
        <f t="shared" si="82"/>
        <v>100</v>
      </c>
      <c r="CV16" s="193">
        <f t="shared" si="77"/>
        <v>0.19384540828689123</v>
      </c>
      <c r="CW16" s="193">
        <f t="shared" si="78"/>
        <v>0.19685039370078741</v>
      </c>
      <c r="CX16" s="134"/>
      <c r="CY16" s="46">
        <v>2</v>
      </c>
      <c r="CZ16" s="46">
        <v>2.2999999999999998</v>
      </c>
      <c r="DA16" s="46">
        <v>100</v>
      </c>
      <c r="DB16" s="46">
        <f t="shared" si="83"/>
        <v>114.99999999999999</v>
      </c>
      <c r="DC16" s="50">
        <f t="shared" si="79"/>
        <v>0.24230676035861401</v>
      </c>
      <c r="DD16" s="50">
        <f t="shared" si="38"/>
        <v>0.28297244094488189</v>
      </c>
      <c r="DE16" s="258">
        <v>308.89999999999998</v>
      </c>
      <c r="DF16" s="259">
        <v>95.052000000000007</v>
      </c>
      <c r="DG16" s="251">
        <f t="shared" si="39"/>
        <v>139.72644</v>
      </c>
      <c r="DH16" s="46">
        <v>156.75016746726021</v>
      </c>
      <c r="DI16" s="44">
        <v>28.264097860647578</v>
      </c>
      <c r="DJ16" s="44">
        <f t="shared" si="3"/>
        <v>37.424279137387934</v>
      </c>
      <c r="DK16" s="44">
        <f t="shared" si="40"/>
        <v>11.694389763779528</v>
      </c>
      <c r="DL16" s="255">
        <v>308.93799999999999</v>
      </c>
      <c r="DM16" s="256">
        <v>66.643000000000001</v>
      </c>
      <c r="DN16" s="44">
        <f t="shared" si="4"/>
        <v>21.571642206526878</v>
      </c>
      <c r="DO16" s="44">
        <f t="shared" si="41"/>
        <v>37.428882965834745</v>
      </c>
      <c r="DP16" s="44">
        <f t="shared" si="42"/>
        <v>8.1991879921259834</v>
      </c>
      <c r="DQ16" s="180">
        <v>265.81200000000001</v>
      </c>
      <c r="DR16" s="261">
        <v>30.716999999999999</v>
      </c>
      <c r="DS16" s="44">
        <f t="shared" si="5"/>
        <v>11.555911696988847</v>
      </c>
      <c r="DT16" s="44">
        <f t="shared" si="43"/>
        <v>32.20402229222195</v>
      </c>
      <c r="DU16" s="44">
        <f t="shared" si="44"/>
        <v>3.7791584645669292</v>
      </c>
      <c r="DV16" s="250">
        <f t="shared" si="45"/>
        <v>43.125999999999976</v>
      </c>
      <c r="DW16" s="251">
        <f t="shared" si="46"/>
        <v>35.926000000000002</v>
      </c>
      <c r="DX16" s="198">
        <f t="shared" si="47"/>
        <v>0.3351870660299674</v>
      </c>
      <c r="DY16" s="198">
        <v>163.30000000000001</v>
      </c>
      <c r="DZ16" s="98">
        <f>DW16/DV16*100+0.1</f>
        <v>83.404734962667575</v>
      </c>
      <c r="EA16" s="44">
        <f t="shared" si="6"/>
        <v>5.2248606736127909</v>
      </c>
      <c r="EB16" s="44">
        <f t="shared" si="49"/>
        <v>4.4200295275590555</v>
      </c>
      <c r="EC16" s="151"/>
      <c r="ED16" s="154">
        <v>182</v>
      </c>
      <c r="EE16" s="154">
        <v>170</v>
      </c>
      <c r="EF16" s="100">
        <v>91.8</v>
      </c>
      <c r="EG16" s="98">
        <v>91.4</v>
      </c>
      <c r="EH16" s="198">
        <f t="shared" si="50"/>
        <v>220.49915192633873</v>
      </c>
      <c r="EI16" s="198">
        <f t="shared" si="51"/>
        <v>209.15354330708664</v>
      </c>
      <c r="EJ16" s="131">
        <v>135848.1</v>
      </c>
      <c r="EK16" s="98">
        <f>130631</f>
        <v>130631</v>
      </c>
      <c r="EL16" s="98">
        <f>235208</f>
        <v>235208</v>
      </c>
      <c r="EM16" s="98">
        <f t="shared" si="52"/>
        <v>235.208</v>
      </c>
      <c r="EN16" s="98">
        <v>74.3</v>
      </c>
      <c r="EO16" s="98">
        <f t="shared" si="80"/>
        <v>180.05527018854636</v>
      </c>
      <c r="EP16" s="198">
        <f t="shared" si="53"/>
        <v>15.826387206203053</v>
      </c>
      <c r="EQ16" s="198">
        <f t="shared" si="54"/>
        <v>28.937992125984252</v>
      </c>
      <c r="ER16" s="124">
        <v>175.2</v>
      </c>
      <c r="ES16" s="154">
        <v>151</v>
      </c>
      <c r="ET16" s="154">
        <v>151</v>
      </c>
      <c r="EU16" s="100">
        <v>89.9</v>
      </c>
      <c r="EV16" s="44">
        <f t="shared" si="7"/>
        <v>100</v>
      </c>
      <c r="EW16" s="148">
        <v>120</v>
      </c>
      <c r="EX16" s="227">
        <v>116</v>
      </c>
      <c r="EY16" s="345">
        <v>107</v>
      </c>
      <c r="EZ16" s="100">
        <v>100.9</v>
      </c>
      <c r="FA16" s="98">
        <f t="shared" si="55"/>
        <v>92.241379310344826</v>
      </c>
      <c r="FB16" s="198">
        <f t="shared" si="8"/>
        <v>14.053792100799612</v>
      </c>
      <c r="FC16" s="98">
        <f t="shared" si="9"/>
        <v>13.164370078740157</v>
      </c>
      <c r="FD16" s="182">
        <v>25</v>
      </c>
      <c r="FE16" s="229">
        <v>13</v>
      </c>
      <c r="FF16" s="345">
        <v>16</v>
      </c>
      <c r="FG16" s="100">
        <v>108.3</v>
      </c>
      <c r="FH16" s="98">
        <f t="shared" si="56"/>
        <v>123.07692307692308</v>
      </c>
      <c r="FI16" s="198">
        <f t="shared" si="10"/>
        <v>157.49939423309911</v>
      </c>
      <c r="FJ16" s="98">
        <f t="shared" si="11"/>
        <v>196.85039370078741</v>
      </c>
      <c r="FK16" s="120"/>
      <c r="FL16" s="120"/>
      <c r="FM16" s="118"/>
      <c r="FN16" s="132"/>
      <c r="FO16" s="118"/>
      <c r="FP16" s="118"/>
      <c r="FQ16" s="185">
        <v>1390</v>
      </c>
      <c r="FR16" s="184">
        <v>1279</v>
      </c>
      <c r="FS16" s="231">
        <v>5296</v>
      </c>
      <c r="FT16" s="47">
        <f t="shared" si="57"/>
        <v>5.3394632306978806</v>
      </c>
      <c r="FU16" s="100">
        <v>85.7</v>
      </c>
      <c r="FV16" s="98">
        <f t="shared" si="58"/>
        <v>414.07349491790455</v>
      </c>
      <c r="FW16" s="198">
        <f t="shared" si="12"/>
        <v>154.95517324933365</v>
      </c>
      <c r="FX16" s="98">
        <f t="shared" si="13"/>
        <v>651.57480314960628</v>
      </c>
      <c r="FY16" s="133"/>
      <c r="FZ16" s="133"/>
      <c r="GA16" s="133"/>
      <c r="GB16" s="189">
        <v>56910.394999999997</v>
      </c>
      <c r="GC16" s="201">
        <v>67389.180000000008</v>
      </c>
      <c r="GD16" s="190">
        <v>69818.42</v>
      </c>
      <c r="GE16" s="166">
        <f t="shared" si="59"/>
        <v>69.818420000000003</v>
      </c>
      <c r="GF16" s="166">
        <f t="shared" si="84"/>
        <v>3.0066936233630428</v>
      </c>
      <c r="GG16" s="202">
        <f t="shared" si="60"/>
        <v>118.41277854423609</v>
      </c>
      <c r="GH16" s="163">
        <f t="shared" si="61"/>
        <v>103.60479234203473</v>
      </c>
      <c r="GI16" s="48">
        <v>3.03</v>
      </c>
      <c r="GJ16" s="50">
        <v>1.82</v>
      </c>
      <c r="GK16" s="47">
        <f t="shared" si="62"/>
        <v>60.066006600660074</v>
      </c>
      <c r="GL16" s="100">
        <v>0</v>
      </c>
      <c r="GM16" s="100">
        <v>100</v>
      </c>
      <c r="GN16" s="166"/>
      <c r="GO16" s="127"/>
      <c r="GP16" s="128"/>
      <c r="GQ16" s="129"/>
      <c r="GR16" s="128"/>
      <c r="GS16" s="130"/>
      <c r="GT16" s="100">
        <v>75.2</v>
      </c>
      <c r="GU16" s="100">
        <v>82</v>
      </c>
      <c r="GV16" s="166">
        <f t="shared" si="63"/>
        <v>109.04255319148936</v>
      </c>
      <c r="GW16" s="113"/>
      <c r="GX16" s="114"/>
      <c r="GY16" s="100">
        <v>16.8</v>
      </c>
      <c r="GZ16" s="100">
        <v>23.6</v>
      </c>
      <c r="HA16" s="166">
        <v>140.47619047619048</v>
      </c>
      <c r="HB16" s="100">
        <f>[1]Чоя!$D13</f>
        <v>96.5</v>
      </c>
      <c r="HC16" s="100">
        <v>189.5</v>
      </c>
      <c r="HD16" s="100">
        <v>172.3</v>
      </c>
      <c r="HE16" s="98">
        <f t="shared" si="81"/>
        <v>90.923482849604227</v>
      </c>
      <c r="HF16" s="166"/>
      <c r="HG16" s="100">
        <v>6</v>
      </c>
      <c r="HH16" s="100"/>
    </row>
    <row r="17" spans="1:216" s="329" customFormat="1" ht="23.25" customHeight="1">
      <c r="A17" s="289" t="s">
        <v>44</v>
      </c>
      <c r="B17" s="290">
        <v>13728</v>
      </c>
      <c r="C17" s="290">
        <v>13708</v>
      </c>
      <c r="D17" s="291">
        <v>693670</v>
      </c>
      <c r="E17" s="291">
        <v>622719.4</v>
      </c>
      <c r="F17" s="291">
        <v>470208.3</v>
      </c>
      <c r="G17" s="292">
        <f t="shared" si="14"/>
        <v>2.7440039058239472</v>
      </c>
      <c r="H17" s="293">
        <f t="shared" si="15"/>
        <v>7</v>
      </c>
      <c r="I17" s="294">
        <f t="shared" si="16"/>
        <v>89.771707007654939</v>
      </c>
      <c r="J17" s="291">
        <f t="shared" si="17"/>
        <v>75.508856798102002</v>
      </c>
      <c r="K17" s="293">
        <f t="shared" si="18"/>
        <v>10</v>
      </c>
      <c r="L17" s="292">
        <f t="shared" si="19"/>
        <v>45.36126165501166</v>
      </c>
      <c r="M17" s="299">
        <f t="shared" si="19"/>
        <v>34.301743507440911</v>
      </c>
      <c r="N17" s="293">
        <f t="shared" si="0"/>
        <v>9</v>
      </c>
      <c r="O17" s="295">
        <v>132955.5</v>
      </c>
      <c r="P17" s="335">
        <v>168334.4</v>
      </c>
      <c r="Q17" s="335">
        <v>176169.3</v>
      </c>
      <c r="R17" s="296">
        <v>74.599999999999994</v>
      </c>
      <c r="S17" s="341">
        <v>76</v>
      </c>
      <c r="T17" s="297">
        <f t="shared" si="20"/>
        <v>12.262121212121212</v>
      </c>
      <c r="U17" s="291">
        <f t="shared" si="21"/>
        <v>12.851568427195797</v>
      </c>
      <c r="V17" s="291">
        <v>1886207.6</v>
      </c>
      <c r="W17" s="291">
        <v>1909.3987643662399</v>
      </c>
      <c r="X17" s="291">
        <v>2053.5055000000002</v>
      </c>
      <c r="Y17" s="291">
        <v>99</v>
      </c>
      <c r="Z17" s="291">
        <v>102.1</v>
      </c>
      <c r="AA17" s="291">
        <f t="shared" si="64"/>
        <v>139.08790532970863</v>
      </c>
      <c r="AB17" s="291">
        <f t="shared" si="65"/>
        <v>149.80343594981034</v>
      </c>
      <c r="AC17" s="298"/>
      <c r="AD17" s="291">
        <v>1685.9992999999999</v>
      </c>
      <c r="AE17" s="291">
        <v>1620.7929999999999</v>
      </c>
      <c r="AF17" s="291">
        <v>101</v>
      </c>
      <c r="AG17" s="291">
        <v>99</v>
      </c>
      <c r="AH17" s="299">
        <f t="shared" si="22"/>
        <v>122.81463432400932</v>
      </c>
      <c r="AI17" s="291">
        <f t="shared" si="66"/>
        <v>118.23701488182084</v>
      </c>
      <c r="AJ17" s="298"/>
      <c r="AK17" s="291">
        <v>270.91969999999998</v>
      </c>
      <c r="AL17" s="291">
        <v>432.71249999999998</v>
      </c>
      <c r="AM17" s="292">
        <f t="shared" si="23"/>
        <v>21071.893890715168</v>
      </c>
      <c r="AN17" s="291">
        <v>88.6</v>
      </c>
      <c r="AO17" s="291">
        <v>115.7</v>
      </c>
      <c r="AP17" s="292">
        <f t="shared" si="1"/>
        <v>19.73482663170163</v>
      </c>
      <c r="AQ17" s="291">
        <f t="shared" si="2"/>
        <v>31.566421067989495</v>
      </c>
      <c r="AR17" s="298"/>
      <c r="AS17" s="292">
        <v>5639.2000000000007</v>
      </c>
      <c r="AT17" s="292">
        <v>5162.82</v>
      </c>
      <c r="AU17" s="292">
        <v>101</v>
      </c>
      <c r="AV17" s="292">
        <f t="shared" si="67"/>
        <v>91.552347850758949</v>
      </c>
      <c r="AW17" s="292">
        <f t="shared" si="24"/>
        <v>410.78088578088585</v>
      </c>
      <c r="AX17" s="292">
        <f t="shared" si="25"/>
        <v>376.62824627954478</v>
      </c>
      <c r="AY17" s="300"/>
      <c r="AZ17" s="292">
        <v>17685.22</v>
      </c>
      <c r="BA17" s="292">
        <v>17723.02</v>
      </c>
      <c r="BB17" s="292">
        <v>96.6</v>
      </c>
      <c r="BC17" s="291">
        <f t="shared" si="26"/>
        <v>100.21373779913397</v>
      </c>
      <c r="BD17" s="292">
        <f t="shared" si="27"/>
        <v>1288.2590326340326</v>
      </c>
      <c r="BE17" s="301">
        <f t="shared" si="28"/>
        <v>1292.8961190545667</v>
      </c>
      <c r="BF17" s="302"/>
      <c r="BG17" s="292">
        <v>5959.6549999999997</v>
      </c>
      <c r="BH17" s="292">
        <v>6879.54</v>
      </c>
      <c r="BI17" s="292">
        <v>102.7</v>
      </c>
      <c r="BJ17" s="292">
        <f t="shared" si="68"/>
        <v>115.43520556139575</v>
      </c>
      <c r="BK17" s="292">
        <f t="shared" si="29"/>
        <v>434.124053030303</v>
      </c>
      <c r="BL17" s="292">
        <f t="shared" si="30"/>
        <v>501.86314560840384</v>
      </c>
      <c r="BM17" s="303">
        <v>32198</v>
      </c>
      <c r="BN17" s="304">
        <v>33060</v>
      </c>
      <c r="BO17" s="304">
        <v>28596</v>
      </c>
      <c r="BP17" s="305">
        <f t="shared" si="69"/>
        <v>102.67718491831789</v>
      </c>
      <c r="BQ17" s="292">
        <f t="shared" si="31"/>
        <v>86.497277676951001</v>
      </c>
      <c r="BR17" s="292">
        <f t="shared" si="70"/>
        <v>-13.502722323048999</v>
      </c>
      <c r="BS17" s="292">
        <f t="shared" si="71"/>
        <v>-4464</v>
      </c>
      <c r="BT17" s="299">
        <f t="shared" si="32"/>
        <v>2.4082167832167833</v>
      </c>
      <c r="BU17" s="299">
        <f t="shared" si="33"/>
        <v>2.0860811205135685</v>
      </c>
      <c r="BV17" s="303">
        <v>42935</v>
      </c>
      <c r="BW17" s="304">
        <v>45977</v>
      </c>
      <c r="BX17" s="304">
        <v>40253</v>
      </c>
      <c r="BY17" s="305">
        <f t="shared" si="34"/>
        <v>107.08512868289274</v>
      </c>
      <c r="BZ17" s="292">
        <f t="shared" si="35"/>
        <v>87.55029688757422</v>
      </c>
      <c r="CA17" s="292">
        <f t="shared" si="72"/>
        <v>3.3491404428904428</v>
      </c>
      <c r="CB17" s="292">
        <f t="shared" si="72"/>
        <v>2.9364604610446454</v>
      </c>
      <c r="CC17" s="292"/>
      <c r="CD17" s="304">
        <v>15347</v>
      </c>
      <c r="CE17" s="304">
        <v>16070</v>
      </c>
      <c r="CF17" s="292">
        <v>104.7</v>
      </c>
      <c r="CG17" s="292">
        <f t="shared" si="73"/>
        <v>104.71101844008601</v>
      </c>
      <c r="CH17" s="299">
        <f t="shared" si="36"/>
        <v>1.1179341491841492</v>
      </c>
      <c r="CI17" s="299">
        <f t="shared" si="37"/>
        <v>1.1723081412313978</v>
      </c>
      <c r="CJ17" s="292">
        <f>[1]Шебалино!$D31</f>
        <v>7313</v>
      </c>
      <c r="CK17" s="304">
        <v>7275</v>
      </c>
      <c r="CL17" s="304">
        <v>6946</v>
      </c>
      <c r="CM17" s="292">
        <v>99.5</v>
      </c>
      <c r="CN17" s="292">
        <f t="shared" si="74"/>
        <v>95.477663230240552</v>
      </c>
      <c r="CO17" s="299">
        <f t="shared" si="75"/>
        <v>529.93881118881109</v>
      </c>
      <c r="CP17" s="299">
        <f t="shared" si="76"/>
        <v>505.97319347319348</v>
      </c>
      <c r="CQ17" s="306"/>
      <c r="CR17" s="293">
        <v>409</v>
      </c>
      <c r="CS17" s="293">
        <v>446.6</v>
      </c>
      <c r="CT17" s="292">
        <v>114.3</v>
      </c>
      <c r="CU17" s="292">
        <f t="shared" si="82"/>
        <v>109.19315403422985</v>
      </c>
      <c r="CV17" s="307">
        <f t="shared" si="77"/>
        <v>29.793123543123542</v>
      </c>
      <c r="CW17" s="307">
        <f t="shared" si="78"/>
        <v>32.57951561132186</v>
      </c>
      <c r="CX17" s="306"/>
      <c r="CY17" s="292">
        <v>15.2</v>
      </c>
      <c r="CZ17" s="308">
        <v>15.2</v>
      </c>
      <c r="DA17" s="292">
        <v>50</v>
      </c>
      <c r="DB17" s="292">
        <f t="shared" si="83"/>
        <v>100</v>
      </c>
      <c r="DC17" s="309">
        <f t="shared" si="79"/>
        <v>1.1072261072261071</v>
      </c>
      <c r="DD17" s="309">
        <f t="shared" si="38"/>
        <v>1.1088415523781734</v>
      </c>
      <c r="DE17" s="310">
        <v>234.833</v>
      </c>
      <c r="DF17" s="311">
        <v>391.52019999999999</v>
      </c>
      <c r="DG17" s="311">
        <f t="shared" si="39"/>
        <v>575.53469399999994</v>
      </c>
      <c r="DH17" s="292">
        <v>142.36356948113806</v>
      </c>
      <c r="DI17" s="292">
        <v>153.13935891116589</v>
      </c>
      <c r="DJ17" s="292">
        <f t="shared" si="3"/>
        <v>17.106133449883451</v>
      </c>
      <c r="DK17" s="292">
        <f t="shared" si="40"/>
        <v>28.561438576014009</v>
      </c>
      <c r="DL17" s="299">
        <v>181.16300000000001</v>
      </c>
      <c r="DM17" s="312">
        <v>343.57299999999998</v>
      </c>
      <c r="DN17" s="292">
        <f t="shared" si="4"/>
        <v>189.64854854468075</v>
      </c>
      <c r="DO17" s="292">
        <f t="shared" si="41"/>
        <v>13.196605477855478</v>
      </c>
      <c r="DP17" s="292">
        <f t="shared" si="42"/>
        <v>25.063685439159613</v>
      </c>
      <c r="DQ17" s="313">
        <v>114.97199999999999</v>
      </c>
      <c r="DR17" s="311">
        <v>245.36500000000001</v>
      </c>
      <c r="DS17" s="292">
        <f t="shared" si="5"/>
        <v>213.41283095014441</v>
      </c>
      <c r="DT17" s="292">
        <f t="shared" si="43"/>
        <v>8.375</v>
      </c>
      <c r="DU17" s="292">
        <f t="shared" si="44"/>
        <v>17.899401809162534</v>
      </c>
      <c r="DV17" s="310">
        <f t="shared" si="45"/>
        <v>66.191000000000017</v>
      </c>
      <c r="DW17" s="311">
        <f t="shared" si="46"/>
        <v>98.20799999999997</v>
      </c>
      <c r="DX17" s="294">
        <f t="shared" si="47"/>
        <v>0.91627376776348668</v>
      </c>
      <c r="DY17" s="294">
        <v>101.8</v>
      </c>
      <c r="DZ17" s="291">
        <f t="shared" si="48"/>
        <v>148.37062440513051</v>
      </c>
      <c r="EA17" s="292">
        <f t="shared" si="6"/>
        <v>4.8216054778554787</v>
      </c>
      <c r="EB17" s="292">
        <f t="shared" si="49"/>
        <v>7.1642836299970796</v>
      </c>
      <c r="EC17" s="314"/>
      <c r="ED17" s="304">
        <v>425</v>
      </c>
      <c r="EE17" s="304">
        <v>394</v>
      </c>
      <c r="EF17" s="291">
        <v>95.2</v>
      </c>
      <c r="EG17" s="291">
        <v>79.8</v>
      </c>
      <c r="EH17" s="291">
        <f t="shared" si="50"/>
        <v>309.58624708624706</v>
      </c>
      <c r="EI17" s="294">
        <f t="shared" si="51"/>
        <v>287.42340239276336</v>
      </c>
      <c r="EJ17" s="300">
        <v>400826</v>
      </c>
      <c r="EK17" s="98">
        <f>689598+1189515</f>
        <v>1879113</v>
      </c>
      <c r="EL17" s="98">
        <f>466399+0</f>
        <v>466399</v>
      </c>
      <c r="EM17" s="98">
        <f t="shared" si="52"/>
        <v>466.399</v>
      </c>
      <c r="EN17" s="98">
        <v>86.46</v>
      </c>
      <c r="EO17" s="98">
        <f t="shared" si="80"/>
        <v>24.820167813218259</v>
      </c>
      <c r="EP17" s="98">
        <f t="shared" si="53"/>
        <v>136.88177447552448</v>
      </c>
      <c r="EQ17" s="98">
        <f t="shared" si="54"/>
        <v>34.023854683396557</v>
      </c>
      <c r="ER17" s="124">
        <v>403.9</v>
      </c>
      <c r="ES17" s="154">
        <v>363</v>
      </c>
      <c r="ET17" s="154">
        <v>334</v>
      </c>
      <c r="EU17" s="291">
        <v>89</v>
      </c>
      <c r="EV17" s="292">
        <f t="shared" si="7"/>
        <v>92.011019283746549</v>
      </c>
      <c r="EW17" s="293">
        <v>238</v>
      </c>
      <c r="EX17" s="347">
        <v>185</v>
      </c>
      <c r="EY17" s="348">
        <v>182</v>
      </c>
      <c r="EZ17" s="291">
        <v>89</v>
      </c>
      <c r="FA17" s="291">
        <f t="shared" si="55"/>
        <v>98.378378378378386</v>
      </c>
      <c r="FB17" s="294">
        <f t="shared" si="8"/>
        <v>13.476107226107226</v>
      </c>
      <c r="FC17" s="291">
        <f t="shared" si="9"/>
        <v>13.276918587686023</v>
      </c>
      <c r="FD17" s="315">
        <v>21</v>
      </c>
      <c r="FE17" s="349">
        <v>16</v>
      </c>
      <c r="FF17" s="348">
        <v>23</v>
      </c>
      <c r="FG17" s="291">
        <v>90.9</v>
      </c>
      <c r="FH17" s="291">
        <f t="shared" si="56"/>
        <v>143.75</v>
      </c>
      <c r="FI17" s="294">
        <f t="shared" si="10"/>
        <v>116.55011655011656</v>
      </c>
      <c r="FJ17" s="291">
        <f t="shared" si="11"/>
        <v>167.78523489932886</v>
      </c>
      <c r="FK17" s="316"/>
      <c r="FL17" s="306"/>
      <c r="FM17" s="298"/>
      <c r="FN17" s="317"/>
      <c r="FO17" s="298"/>
      <c r="FP17" s="298"/>
      <c r="FQ17" s="318">
        <v>4019</v>
      </c>
      <c r="FR17" s="319">
        <v>4137</v>
      </c>
      <c r="FS17" s="320">
        <v>3055</v>
      </c>
      <c r="FT17" s="321">
        <f t="shared" si="57"/>
        <v>3.0800717843244008</v>
      </c>
      <c r="FU17" s="291">
        <v>143.9</v>
      </c>
      <c r="FV17" s="291">
        <f t="shared" si="58"/>
        <v>73.845781967609383</v>
      </c>
      <c r="FW17" s="294">
        <f t="shared" si="12"/>
        <v>301.35489510489509</v>
      </c>
      <c r="FX17" s="291">
        <f t="shared" si="13"/>
        <v>222.8625620075868</v>
      </c>
      <c r="FY17" s="322"/>
      <c r="FZ17" s="322"/>
      <c r="GA17" s="322"/>
      <c r="GB17" s="323">
        <v>75891.170540000006</v>
      </c>
      <c r="GC17" s="324">
        <v>77917.850000000006</v>
      </c>
      <c r="GD17" s="323">
        <v>83767.680000000008</v>
      </c>
      <c r="GE17" s="321">
        <f t="shared" si="59"/>
        <v>83.767680000000013</v>
      </c>
      <c r="GF17" s="321">
        <f t="shared" si="84"/>
        <v>3.6074111860439686</v>
      </c>
      <c r="GG17" s="294">
        <f t="shared" si="60"/>
        <v>102.67050757759995</v>
      </c>
      <c r="GH17" s="291">
        <f t="shared" si="61"/>
        <v>107.50768918803585</v>
      </c>
      <c r="GI17" s="309">
        <v>2.78</v>
      </c>
      <c r="GJ17" s="309">
        <v>1.69</v>
      </c>
      <c r="GK17" s="321">
        <f t="shared" si="62"/>
        <v>60.791366906474821</v>
      </c>
      <c r="GL17" s="291">
        <v>0</v>
      </c>
      <c r="GM17" s="291">
        <v>89</v>
      </c>
      <c r="GN17" s="321"/>
      <c r="GO17" s="325"/>
      <c r="GP17" s="326"/>
      <c r="GQ17" s="327"/>
      <c r="GR17" s="326"/>
      <c r="GS17" s="328"/>
      <c r="GT17" s="291">
        <v>80.709999999999994</v>
      </c>
      <c r="GU17" s="291">
        <v>84.1</v>
      </c>
      <c r="GV17" s="321">
        <f t="shared" si="63"/>
        <v>104.20022302069137</v>
      </c>
      <c r="GW17" s="293"/>
      <c r="GX17" s="299"/>
      <c r="GY17" s="291">
        <v>3.7</v>
      </c>
      <c r="GZ17" s="291">
        <v>3.5</v>
      </c>
      <c r="HA17" s="321">
        <v>94.594594594594597</v>
      </c>
      <c r="HB17" s="291">
        <f>[1]Шебалино!$D13</f>
        <v>68.099999999999994</v>
      </c>
      <c r="HC17" s="291">
        <v>230.6</v>
      </c>
      <c r="HD17" s="291">
        <v>157</v>
      </c>
      <c r="HE17" s="291">
        <f t="shared" si="81"/>
        <v>68.083261058109272</v>
      </c>
      <c r="HF17" s="321"/>
      <c r="HG17" s="291">
        <v>4</v>
      </c>
      <c r="HH17" s="291"/>
    </row>
    <row r="18" spans="1:216" s="63" customFormat="1" ht="25.9" customHeight="1">
      <c r="A18" s="62" t="s">
        <v>45</v>
      </c>
      <c r="B18" s="146">
        <f>SUM(B7:B17)</f>
        <v>218465</v>
      </c>
      <c r="C18" s="146">
        <f>SUM(C7:C17)</f>
        <v>219524</v>
      </c>
      <c r="D18" s="97">
        <v>17139839.800000001</v>
      </c>
      <c r="E18" s="97">
        <f>SUM(E7:E17)</f>
        <v>17523727.999999996</v>
      </c>
      <c r="F18" s="97">
        <f>SUM(F7:F17)</f>
        <v>17135846.599999998</v>
      </c>
      <c r="G18" s="139"/>
      <c r="H18" s="140"/>
      <c r="I18" s="241">
        <f t="shared" si="16"/>
        <v>102.23974205406515</v>
      </c>
      <c r="J18" s="242">
        <f t="shared" si="17"/>
        <v>97.786536061276465</v>
      </c>
      <c r="K18" s="243"/>
      <c r="L18" s="243">
        <f>E18/B18</f>
        <v>80.212976907056031</v>
      </c>
      <c r="M18" s="243">
        <f>F18/C18</f>
        <v>78.059103332665217</v>
      </c>
      <c r="N18" s="243">
        <f>M18/L18*100</f>
        <v>97.314806584367844</v>
      </c>
      <c r="O18" s="97">
        <f>SUM(O7:O17)</f>
        <v>5877453.5999999996</v>
      </c>
      <c r="P18" s="97">
        <f>SUM(P7:P17)</f>
        <v>5352997.6000000006</v>
      </c>
      <c r="Q18" s="97">
        <f>SUM(Q7:Q17)</f>
        <v>3769672.2</v>
      </c>
      <c r="R18" s="53">
        <v>102.5</v>
      </c>
      <c r="S18" s="52">
        <v>90.4</v>
      </c>
      <c r="T18" s="268">
        <f t="shared" si="20"/>
        <v>24.502769780056305</v>
      </c>
      <c r="U18" s="216">
        <f t="shared" si="21"/>
        <v>17.172027659845849</v>
      </c>
      <c r="V18" s="97">
        <f>SUM(V7:V17)</f>
        <v>12575713.852836611</v>
      </c>
      <c r="W18" s="203">
        <f>SUM(W7:W17)</f>
        <v>11699.756965622413</v>
      </c>
      <c r="X18" s="203">
        <f>SUM(X7:X17)</f>
        <v>12402.837</v>
      </c>
      <c r="Y18" s="205">
        <v>100.2</v>
      </c>
      <c r="Z18" s="196">
        <v>100.5</v>
      </c>
      <c r="AA18" s="215">
        <f t="shared" si="64"/>
        <v>53.554376973988575</v>
      </c>
      <c r="AB18" s="215">
        <f t="shared" si="65"/>
        <v>56.498774621453691</v>
      </c>
      <c r="AC18" s="208"/>
      <c r="AD18" s="203">
        <v>9889.82</v>
      </c>
      <c r="AE18" s="203">
        <v>9680.5079999999998</v>
      </c>
      <c r="AF18" s="196">
        <v>101.3</v>
      </c>
      <c r="AG18" s="196">
        <v>99</v>
      </c>
      <c r="AH18" s="159">
        <f t="shared" si="22"/>
        <v>45.269585517130885</v>
      </c>
      <c r="AI18" s="216">
        <f t="shared" si="66"/>
        <v>44.097720522585227</v>
      </c>
      <c r="AJ18" s="207"/>
      <c r="AK18" s="203">
        <f>SUM(AK7:AK17)</f>
        <v>2289.8968</v>
      </c>
      <c r="AL18" s="203">
        <f>SUM(AL7:AL17)</f>
        <v>2722.3290000000002</v>
      </c>
      <c r="AM18" s="203"/>
      <c r="AN18" s="196">
        <v>95.7</v>
      </c>
      <c r="AO18" s="196">
        <v>106.3</v>
      </c>
      <c r="AP18" s="205">
        <f t="shared" si="1"/>
        <v>10.481755887670793</v>
      </c>
      <c r="AQ18" s="215">
        <f t="shared" si="2"/>
        <v>12.401054098868462</v>
      </c>
      <c r="AR18" s="207"/>
      <c r="AS18" s="235">
        <v>13944.5</v>
      </c>
      <c r="AT18" s="235">
        <v>13730.485999999983</v>
      </c>
      <c r="AU18" s="205">
        <v>104.54264951360521</v>
      </c>
      <c r="AV18" s="54">
        <f t="shared" si="67"/>
        <v>98.465244361576126</v>
      </c>
      <c r="AW18" s="205">
        <f>AS18/B18*1000</f>
        <v>63.829446364406195</v>
      </c>
      <c r="AX18" s="205">
        <f>AT18/C18*1000</f>
        <v>62.546628159107804</v>
      </c>
      <c r="AY18" s="209"/>
      <c r="AZ18" s="203">
        <f>SUM(AZ7:AZ17)</f>
        <v>73214.861000000004</v>
      </c>
      <c r="BA18" s="203">
        <f>SUM(BA7:BA17)</f>
        <v>73175.695999999996</v>
      </c>
      <c r="BB18" s="205">
        <v>101.11393487858717</v>
      </c>
      <c r="BC18" s="274">
        <f t="shared" si="26"/>
        <v>99.946506761789792</v>
      </c>
      <c r="BD18" s="203">
        <f>AZ18/B18*1000</f>
        <v>335.13313803126363</v>
      </c>
      <c r="BE18" s="203">
        <f>BA18/C18*1000</f>
        <v>333.33802226635811</v>
      </c>
      <c r="BF18" s="209"/>
      <c r="BG18" s="203">
        <f>SUM(BG7:BG17)</f>
        <v>37575.279000000002</v>
      </c>
      <c r="BH18" s="203">
        <f>SUM(BH7:BH17)</f>
        <v>37908.608500000002</v>
      </c>
      <c r="BI18" s="205">
        <v>104.07330292435786</v>
      </c>
      <c r="BJ18" s="54">
        <f t="shared" si="68"/>
        <v>100.88709787091668</v>
      </c>
      <c r="BK18" s="205">
        <f>BG18/B18*1000</f>
        <v>171.996791248026</v>
      </c>
      <c r="BL18" s="205">
        <f>BH18/C18*1000</f>
        <v>172.68548541389552</v>
      </c>
      <c r="BM18" s="211">
        <f>SUM(BM7:BM17)</f>
        <v>231463</v>
      </c>
      <c r="BN18" s="211">
        <f>SUM(BN7:BN17)</f>
        <v>228721</v>
      </c>
      <c r="BO18" s="211">
        <f>SUM(BO7:BO17)</f>
        <v>223856</v>
      </c>
      <c r="BP18" s="224">
        <f t="shared" si="69"/>
        <v>98.815361418455652</v>
      </c>
      <c r="BQ18" s="96">
        <f t="shared" si="31"/>
        <v>97.872954385474003</v>
      </c>
      <c r="BR18" s="206"/>
      <c r="BS18" s="206"/>
      <c r="BT18" s="212">
        <f>BN18/B18</f>
        <v>1.0469457350147622</v>
      </c>
      <c r="BU18" s="212">
        <f>BO18/C18</f>
        <v>1.0197336054372188</v>
      </c>
      <c r="BV18" s="220">
        <v>563957</v>
      </c>
      <c r="BW18" s="211">
        <f>SUM(BW7:BW17)</f>
        <v>565017</v>
      </c>
      <c r="BX18" s="211">
        <f>SUM(BX7:BX17)</f>
        <v>551503</v>
      </c>
      <c r="BY18" s="224">
        <f t="shared" si="34"/>
        <v>100.18795759251149</v>
      </c>
      <c r="BZ18" s="96">
        <f t="shared" si="35"/>
        <v>97.608213558176132</v>
      </c>
      <c r="CA18" s="53">
        <f t="shared" ref="CA18" si="85">BW18/B18</f>
        <v>2.5863044423591881</v>
      </c>
      <c r="CB18" s="53">
        <f t="shared" ref="CB18" si="86">BX18/C18</f>
        <v>2.5122674513948362</v>
      </c>
      <c r="CC18" s="53"/>
      <c r="CD18" s="211">
        <f>SUM(CD7:CD17)</f>
        <v>104408</v>
      </c>
      <c r="CE18" s="211">
        <f>SUM(CE7:CE17)</f>
        <v>110196</v>
      </c>
      <c r="CF18" s="226">
        <v>99.876812037843052</v>
      </c>
      <c r="CG18" s="54">
        <f t="shared" si="73"/>
        <v>105.54363650294995</v>
      </c>
      <c r="CH18" s="159">
        <f t="shared" ref="CH18" si="87">CD18/$B18</f>
        <v>0.47791637104341655</v>
      </c>
      <c r="CI18" s="159">
        <f t="shared" ref="CI18" si="88">CE18/$C18</f>
        <v>0.50197700479218677</v>
      </c>
      <c r="CJ18" s="211">
        <v>54250</v>
      </c>
      <c r="CK18" s="214">
        <f>SUM(CK7:CK17)</f>
        <v>55337</v>
      </c>
      <c r="CL18" s="214">
        <f>SUM(CL7:CL17)</f>
        <v>56516</v>
      </c>
      <c r="CM18" s="205">
        <v>102.00387834101383</v>
      </c>
      <c r="CN18" s="54">
        <f t="shared" si="74"/>
        <v>102.130581708441</v>
      </c>
      <c r="CO18" s="212">
        <f t="shared" si="75"/>
        <v>253.29915547112807</v>
      </c>
      <c r="CP18" s="212">
        <f t="shared" si="76"/>
        <v>258.69590094523147</v>
      </c>
      <c r="CQ18" s="207"/>
      <c r="CR18" s="269">
        <v>1281.1679999999999</v>
      </c>
      <c r="CS18" s="269">
        <f>354.3+1017.2</f>
        <v>1371.5</v>
      </c>
      <c r="CT18" s="196">
        <v>105.68949018313809</v>
      </c>
      <c r="CU18" s="270">
        <f t="shared" si="82"/>
        <v>107.05075368726038</v>
      </c>
      <c r="CV18" s="218">
        <f>CR18/B18*1000</f>
        <v>5.8644084864852486</v>
      </c>
      <c r="CW18" s="218">
        <f t="shared" si="78"/>
        <v>6.2476084619449352</v>
      </c>
      <c r="CX18" s="207"/>
      <c r="CY18" s="196">
        <v>536.221</v>
      </c>
      <c r="CZ18" s="272">
        <f>200.3+283.2</f>
        <v>483.5</v>
      </c>
      <c r="DA18" s="196">
        <v>105.74265430881482</v>
      </c>
      <c r="DB18" s="273">
        <f>CZ18/CY18*100</f>
        <v>90.168046383860386</v>
      </c>
      <c r="DC18" s="219">
        <f t="shared" si="79"/>
        <v>2.4544938548508912</v>
      </c>
      <c r="DD18" s="219">
        <f t="shared" si="38"/>
        <v>2.2024926659499644</v>
      </c>
      <c r="DE18" s="262">
        <v>14783.441999999999</v>
      </c>
      <c r="DF18" s="262">
        <v>21587.062999999998</v>
      </c>
      <c r="DG18" s="251">
        <f t="shared" si="39"/>
        <v>31732.982609999995</v>
      </c>
      <c r="DH18" s="54">
        <v>109.8</v>
      </c>
      <c r="DI18" s="53">
        <v>134.1</v>
      </c>
      <c r="DJ18" s="53">
        <f t="shared" si="3"/>
        <v>67.669612981484448</v>
      </c>
      <c r="DK18" s="53">
        <f t="shared" si="40"/>
        <v>98.335776498241657</v>
      </c>
      <c r="DL18" s="55">
        <f>SUM(DL7:DL17)</f>
        <v>8486.1960000000017</v>
      </c>
      <c r="DM18" s="55">
        <f>SUM(DM7:DM17)</f>
        <v>14647.706999999999</v>
      </c>
      <c r="DN18" s="53">
        <f>DM18/DL18*100</f>
        <v>172.60627730021784</v>
      </c>
      <c r="DO18" s="53">
        <f t="shared" si="41"/>
        <v>38.844647884100439</v>
      </c>
      <c r="DP18" s="53">
        <f t="shared" si="42"/>
        <v>66.724854685592462</v>
      </c>
      <c r="DQ18" s="177">
        <v>3261.0540000000001</v>
      </c>
      <c r="DR18" s="262">
        <v>3929.5129999999999</v>
      </c>
      <c r="DS18" s="53">
        <v>119</v>
      </c>
      <c r="DT18" s="53">
        <f t="shared" si="43"/>
        <v>14.927123337834436</v>
      </c>
      <c r="DU18" s="53">
        <f t="shared" si="44"/>
        <v>17.900152147373408</v>
      </c>
      <c r="DV18" s="252">
        <f>DL18-DQ18</f>
        <v>5225.1420000000016</v>
      </c>
      <c r="DW18" s="253">
        <f t="shared" si="46"/>
        <v>10718.194</v>
      </c>
      <c r="DX18" s="177"/>
      <c r="DY18" s="97">
        <v>114</v>
      </c>
      <c r="DZ18" s="216">
        <f t="shared" si="48"/>
        <v>205.12732476935548</v>
      </c>
      <c r="EA18" s="53">
        <f>(DV18*1000)/$B18</f>
        <v>23.917524546266002</v>
      </c>
      <c r="EB18" s="53">
        <f t="shared" si="49"/>
        <v>48.824702538219057</v>
      </c>
      <c r="EC18" s="152"/>
      <c r="ED18" s="146">
        <f>SUM(ED7:ED17)</f>
        <v>8329</v>
      </c>
      <c r="EE18" s="146">
        <f>SUM(EE7:EE17)</f>
        <v>7990</v>
      </c>
      <c r="EF18" s="53">
        <v>98.836724123653013</v>
      </c>
      <c r="EG18" s="216">
        <f t="shared" ref="EG18" si="89">EE18/ED18*100</f>
        <v>95.92988353944051</v>
      </c>
      <c r="EH18" s="216">
        <f t="shared" si="50"/>
        <v>381.25100130455678</v>
      </c>
      <c r="EI18" s="268">
        <f t="shared" si="51"/>
        <v>363.96931542792589</v>
      </c>
      <c r="EJ18" s="138">
        <f>SUM(EJ7:EJ17)</f>
        <v>8017814.1000000006</v>
      </c>
      <c r="EK18" s="97">
        <f>10898543+7203475</f>
        <v>18102018</v>
      </c>
      <c r="EL18" s="97">
        <f>10592507+2823893</f>
        <v>13416400</v>
      </c>
      <c r="EM18" s="216">
        <f t="shared" si="52"/>
        <v>13416.4</v>
      </c>
      <c r="EN18" s="53">
        <v>79.914218378637486</v>
      </c>
      <c r="EO18" s="53">
        <f t="shared" ref="EO18" si="90">EL18/EK18*100</f>
        <v>74.11549364275298</v>
      </c>
      <c r="EP18" s="53">
        <f t="shared" si="53"/>
        <v>82.860037076877305</v>
      </c>
      <c r="EQ18" s="53">
        <f t="shared" si="54"/>
        <v>61.115868879940237</v>
      </c>
      <c r="ER18" s="137">
        <f>SUM(ER7:ER17)</f>
        <v>5551.7999999999993</v>
      </c>
      <c r="ES18" s="157">
        <f>4110+1105</f>
        <v>5215</v>
      </c>
      <c r="ET18" s="157">
        <f>3825+1034</f>
        <v>4859</v>
      </c>
      <c r="EU18" s="53">
        <v>93.358999037536094</v>
      </c>
      <c r="EV18" s="53">
        <f>ET18/ES18*100</f>
        <v>93.173537871524445</v>
      </c>
      <c r="EW18" s="157">
        <f>SUM(EW7:EW17)</f>
        <v>3911</v>
      </c>
      <c r="EX18" s="157">
        <f>SUM(EX7:EX17)</f>
        <v>3347</v>
      </c>
      <c r="EY18" s="157">
        <v>2998</v>
      </c>
      <c r="EZ18" s="53">
        <v>96.834156259076394</v>
      </c>
      <c r="FA18" s="216">
        <f t="shared" si="55"/>
        <v>89.572751717956379</v>
      </c>
      <c r="FB18" s="268">
        <f t="shared" si="8"/>
        <v>15.32053189298057</v>
      </c>
      <c r="FC18" s="216">
        <f t="shared" si="9"/>
        <v>13.656821122064104</v>
      </c>
      <c r="FD18" s="157">
        <f>SUM(FD7:FD17)</f>
        <v>311</v>
      </c>
      <c r="FE18" s="157">
        <f>SUM(FE7:FE17)</f>
        <v>291</v>
      </c>
      <c r="FF18" s="157">
        <f>SUM(FF7:FF17)</f>
        <v>300</v>
      </c>
      <c r="FG18" s="53">
        <v>100.6825938566553</v>
      </c>
      <c r="FH18" s="216">
        <f t="shared" si="56"/>
        <v>103.09278350515463</v>
      </c>
      <c r="FI18" s="198">
        <f t="shared" si="10"/>
        <v>133.20211475522396</v>
      </c>
      <c r="FJ18" s="98">
        <f t="shared" si="11"/>
        <v>136.65931743226253</v>
      </c>
      <c r="FK18" s="140">
        <f t="shared" ref="FK18:GA18" si="91">SUM(FK7:FK17)</f>
        <v>0</v>
      </c>
      <c r="FL18" s="140">
        <f t="shared" si="91"/>
        <v>0</v>
      </c>
      <c r="FM18" s="140">
        <f t="shared" si="91"/>
        <v>0</v>
      </c>
      <c r="FN18" s="140">
        <f t="shared" si="91"/>
        <v>0</v>
      </c>
      <c r="FO18" s="140">
        <f t="shared" si="91"/>
        <v>0</v>
      </c>
      <c r="FP18" s="140">
        <f t="shared" si="91"/>
        <v>0</v>
      </c>
      <c r="FQ18" s="146">
        <f t="shared" si="91"/>
        <v>124609</v>
      </c>
      <c r="FR18" s="146">
        <f t="shared" si="91"/>
        <v>108258</v>
      </c>
      <c r="FS18" s="146">
        <f>SUM(FS7:FS17)</f>
        <v>99186</v>
      </c>
      <c r="FT18" s="52" t="s">
        <v>58</v>
      </c>
      <c r="FU18" s="53">
        <v>82.686403006278354</v>
      </c>
      <c r="FV18" s="216">
        <f t="shared" si="58"/>
        <v>91.62001884387297</v>
      </c>
      <c r="FW18" s="268">
        <f t="shared" si="12"/>
        <v>495.5393312429909</v>
      </c>
      <c r="FX18" s="216">
        <f t="shared" si="13"/>
        <v>451.82303529454634</v>
      </c>
      <c r="FY18" s="140">
        <f t="shared" si="91"/>
        <v>0</v>
      </c>
      <c r="FZ18" s="140">
        <f t="shared" si="91"/>
        <v>0</v>
      </c>
      <c r="GA18" s="140">
        <f t="shared" si="91"/>
        <v>0</v>
      </c>
      <c r="GB18" s="97">
        <f>SUM(GB7:GB17)</f>
        <v>1780931.7531900001</v>
      </c>
      <c r="GC18" s="203">
        <f>SUM(GC7:GC17)</f>
        <v>2107023.7000000002</v>
      </c>
      <c r="GD18" s="203">
        <f>SUM(GD7:GD17)</f>
        <v>2322099.58</v>
      </c>
      <c r="GE18" s="203">
        <f>SUM(GE7:GE17)</f>
        <v>2322.0995800000005</v>
      </c>
      <c r="GF18" s="196"/>
      <c r="GG18" s="202">
        <f t="shared" si="60"/>
        <v>118.31018769955138</v>
      </c>
      <c r="GH18" s="163">
        <f t="shared" si="61"/>
        <v>110.20756814458232</v>
      </c>
      <c r="GI18" s="191">
        <v>2.2200000000000002</v>
      </c>
      <c r="GJ18" s="55">
        <v>1.94</v>
      </c>
      <c r="GK18" s="47">
        <f t="shared" si="62"/>
        <v>87.387387387387378</v>
      </c>
      <c r="GL18" s="192">
        <v>78.7</v>
      </c>
      <c r="GM18" s="192">
        <f>AVERAGE(GM7:GM17)</f>
        <v>90.563636363636363</v>
      </c>
      <c r="GN18" s="192"/>
      <c r="GO18" s="141"/>
      <c r="GP18" s="141"/>
      <c r="GQ18" s="141"/>
      <c r="GR18" s="142"/>
      <c r="GS18" s="143"/>
      <c r="GT18" s="192">
        <v>70.5</v>
      </c>
      <c r="GU18" s="192">
        <v>73</v>
      </c>
      <c r="GV18" s="192">
        <f t="shared" si="63"/>
        <v>103.54609929078013</v>
      </c>
      <c r="GW18" s="116"/>
      <c r="GX18" s="116"/>
      <c r="GY18" s="192"/>
      <c r="GZ18" s="192">
        <f>411/67403*1000</f>
        <v>6.0976514398468913</v>
      </c>
      <c r="HA18" s="192">
        <v>99.865229110512118</v>
      </c>
      <c r="HB18" s="192">
        <v>62.9</v>
      </c>
      <c r="HC18" s="192">
        <f>SUM(HC7:HC17)</f>
        <v>2921.7999999999997</v>
      </c>
      <c r="HD18" s="192">
        <f>SUM(HD7:HD17)</f>
        <v>1576.6999999999998</v>
      </c>
      <c r="HE18" s="192">
        <f t="shared" si="81"/>
        <v>53.963310288178526</v>
      </c>
      <c r="HF18" s="192"/>
      <c r="HG18" s="192">
        <f>SUM(HG7:HG17)/11</f>
        <v>4.8181818181818183</v>
      </c>
      <c r="HH18" s="192"/>
    </row>
    <row r="19" spans="1:216" s="68" customFormat="1" ht="34.15" customHeight="1">
      <c r="B19" s="65"/>
      <c r="C19" s="69" t="s">
        <v>46</v>
      </c>
      <c r="D19" s="69"/>
      <c r="E19" s="91" t="s">
        <v>47</v>
      </c>
      <c r="F19" s="71"/>
      <c r="G19" s="72"/>
      <c r="H19" s="239" t="s">
        <v>88</v>
      </c>
      <c r="I19" s="244"/>
      <c r="J19" s="244"/>
      <c r="K19" s="245"/>
      <c r="L19" s="246"/>
      <c r="M19" s="246"/>
      <c r="N19" s="247"/>
      <c r="O19" s="240"/>
      <c r="P19" s="91" t="s">
        <v>48</v>
      </c>
      <c r="Q19" s="65" t="s">
        <v>88</v>
      </c>
      <c r="R19" s="51"/>
      <c r="S19" s="92" t="s">
        <v>49</v>
      </c>
      <c r="T19" s="73">
        <f>P7/B7</f>
        <v>43.538970565087361</v>
      </c>
      <c r="U19" s="73">
        <f>Q7/C7</f>
        <v>27.693755747798299</v>
      </c>
      <c r="V19" s="73"/>
      <c r="W19" s="73"/>
      <c r="X19" s="93" t="s">
        <v>50</v>
      </c>
      <c r="Y19" s="73" t="s">
        <v>88</v>
      </c>
      <c r="Z19" s="73"/>
      <c r="AA19" s="73"/>
      <c r="AB19" s="73"/>
      <c r="AC19" s="73"/>
      <c r="AD19" s="73"/>
      <c r="AE19" s="46" t="s">
        <v>88</v>
      </c>
      <c r="AF19" s="73"/>
      <c r="AG19" s="73"/>
      <c r="AH19" s="69"/>
      <c r="AI19" s="69"/>
      <c r="AJ19" s="72"/>
      <c r="AK19" s="72"/>
      <c r="AL19" s="69" t="s">
        <v>88</v>
      </c>
      <c r="AM19" s="69"/>
      <c r="AN19" s="69"/>
      <c r="AO19" s="72"/>
      <c r="AP19" s="72"/>
      <c r="AQ19" s="74"/>
      <c r="AR19" s="75"/>
      <c r="AS19" s="72"/>
      <c r="AT19" s="236" t="s">
        <v>88</v>
      </c>
      <c r="AU19" s="74"/>
      <c r="AV19" s="75"/>
      <c r="AW19" s="72"/>
      <c r="AX19" s="72"/>
      <c r="AY19" s="76"/>
      <c r="AZ19" s="77"/>
      <c r="BA19" s="72"/>
      <c r="BB19" s="72" t="s">
        <v>88</v>
      </c>
      <c r="BC19" s="72"/>
      <c r="BD19" s="72"/>
      <c r="BE19" s="72"/>
      <c r="BF19" s="72"/>
      <c r="BG19" s="76"/>
      <c r="BH19" s="77"/>
      <c r="BI19" s="72"/>
      <c r="BJ19" s="72"/>
      <c r="BK19" s="72"/>
      <c r="BL19" s="73"/>
      <c r="BM19" s="70"/>
      <c r="BN19" s="78"/>
      <c r="BO19" s="79"/>
      <c r="BP19" s="54"/>
      <c r="BQ19" s="64"/>
      <c r="BR19" s="64"/>
      <c r="BS19" s="64"/>
      <c r="BT19" s="64"/>
      <c r="BU19" s="64"/>
      <c r="BV19" s="64"/>
      <c r="BW19" s="64"/>
      <c r="BX19" s="46"/>
      <c r="BY19" s="46"/>
      <c r="BZ19" s="46" t="s">
        <v>88</v>
      </c>
      <c r="CA19" s="73"/>
      <c r="CB19" s="73"/>
      <c r="CC19" s="73"/>
      <c r="CD19" s="77"/>
      <c r="CE19" s="80"/>
      <c r="CF19" s="80"/>
      <c r="CG19" s="80" t="s">
        <v>88</v>
      </c>
      <c r="CH19" s="64"/>
      <c r="CI19" s="81"/>
      <c r="CJ19" s="76"/>
      <c r="CK19" s="77"/>
      <c r="CL19" s="77"/>
      <c r="CM19" s="54" t="s">
        <v>88</v>
      </c>
      <c r="CN19" s="54"/>
      <c r="CO19" s="54"/>
      <c r="CP19" s="82"/>
      <c r="CR19" s="144">
        <f>(3961+8165-75)/10</f>
        <v>1205.0999999999999</v>
      </c>
      <c r="CS19" s="144">
        <v>12811.68</v>
      </c>
      <c r="CT19" s="144" t="s">
        <v>88</v>
      </c>
      <c r="CU19" s="144"/>
      <c r="CV19" s="144"/>
      <c r="CW19" s="144"/>
      <c r="CX19" s="144"/>
      <c r="CY19" s="144">
        <f>(2170+3030-38)/10</f>
        <v>516.20000000000005</v>
      </c>
      <c r="DA19" s="68" t="s">
        <v>88</v>
      </c>
      <c r="DE19" s="84">
        <f>DF17/DE17*100</f>
        <v>166.72282004658629</v>
      </c>
      <c r="DF19" s="91" t="s">
        <v>51</v>
      </c>
      <c r="DG19" s="248"/>
      <c r="DH19" s="80"/>
      <c r="DI19" s="46"/>
      <c r="DJ19" s="64"/>
      <c r="DK19" s="64"/>
      <c r="DL19" s="84">
        <f>DM17/DL17*100</f>
        <v>189.64854854468075</v>
      </c>
      <c r="DM19" s="91" t="s">
        <v>51</v>
      </c>
      <c r="DN19" s="46"/>
      <c r="DO19" s="64"/>
      <c r="DP19" s="64"/>
      <c r="DQ19" s="67"/>
      <c r="DR19" s="44"/>
      <c r="DS19" s="66"/>
      <c r="DT19" s="66"/>
      <c r="DU19" s="85"/>
      <c r="DV19" s="77"/>
      <c r="DW19" s="46"/>
      <c r="DX19" s="46"/>
      <c r="DY19" s="46"/>
      <c r="DZ19" s="86"/>
      <c r="EA19" s="94"/>
      <c r="EB19" s="95"/>
      <c r="EC19" s="94"/>
      <c r="ED19" s="94"/>
      <c r="EE19" s="195"/>
      <c r="EF19" s="94"/>
      <c r="EG19" s="87"/>
      <c r="EH19" s="88"/>
      <c r="EI19" s="89"/>
      <c r="EJ19" s="82" t="s">
        <v>52</v>
      </c>
      <c r="EK19" s="83"/>
      <c r="EL19" s="84" t="s">
        <v>53</v>
      </c>
      <c r="EM19" s="84"/>
      <c r="EN19" s="46"/>
      <c r="EO19" s="90"/>
      <c r="EP19" s="90"/>
      <c r="EQ19" s="90"/>
      <c r="ER19" s="90" t="s">
        <v>52</v>
      </c>
      <c r="EV19" s="204">
        <f>ET14/ET18*100</f>
        <v>16.2173286684503</v>
      </c>
      <c r="EW19" s="90"/>
      <c r="EX19" s="181"/>
      <c r="EY19" s="67" t="s">
        <v>54</v>
      </c>
      <c r="EZ19" s="68" t="s">
        <v>88</v>
      </c>
      <c r="FH19" s="68" t="s">
        <v>88</v>
      </c>
      <c r="FR19" s="89" t="s">
        <v>55</v>
      </c>
      <c r="FU19" s="68" t="s">
        <v>88</v>
      </c>
      <c r="GD19" s="68" t="s">
        <v>88</v>
      </c>
      <c r="GJ19" s="68" t="s">
        <v>88</v>
      </c>
    </row>
    <row r="20" spans="1:216">
      <c r="A20" s="56"/>
      <c r="E20" s="101">
        <f>E18-SUM(E7:E17)</f>
        <v>0</v>
      </c>
      <c r="F20" s="101">
        <f>F18-SUM(F7:F17)</f>
        <v>0</v>
      </c>
      <c r="G20" s="57"/>
      <c r="H20" s="57"/>
      <c r="BI20" s="2" t="s">
        <v>88</v>
      </c>
      <c r="BO20" s="2" t="s">
        <v>88</v>
      </c>
      <c r="CR20" s="1">
        <f>3302+9510</f>
        <v>12812</v>
      </c>
      <c r="DG20" s="2" t="s">
        <v>88</v>
      </c>
      <c r="DM20" s="2" t="s">
        <v>88</v>
      </c>
      <c r="DW20" s="58"/>
      <c r="DX20" s="58"/>
      <c r="DY20" s="58"/>
      <c r="EE20" s="59"/>
      <c r="EF20" s="60"/>
    </row>
    <row r="21" spans="1:216">
      <c r="O21" s="1">
        <f>Q18/O18</f>
        <v>0.64137847043148077</v>
      </c>
      <c r="DW21" s="58"/>
      <c r="DX21" s="58" t="s">
        <v>88</v>
      </c>
      <c r="DY21" s="58"/>
      <c r="EI21" s="57">
        <f>EI18-EH18</f>
        <v>-17.281685876630888</v>
      </c>
      <c r="EL21" s="2">
        <f>1640/EK8*100</f>
        <v>33.606557377049178</v>
      </c>
    </row>
    <row r="22" spans="1:216">
      <c r="DW22" s="58"/>
      <c r="DX22" s="58"/>
      <c r="DY22" s="58"/>
      <c r="EB22" s="1">
        <f>EB18/EA18*100</f>
        <v>204.13777539465957</v>
      </c>
    </row>
    <row r="23" spans="1:216">
      <c r="DW23" s="58"/>
      <c r="DX23" s="58"/>
      <c r="DY23" s="58"/>
    </row>
    <row r="24" spans="1:216">
      <c r="DW24" s="58"/>
      <c r="DX24" s="58"/>
      <c r="DY24" s="58"/>
    </row>
    <row r="25" spans="1:216">
      <c r="DW25" s="58"/>
      <c r="DX25" s="58"/>
      <c r="DY25" s="58"/>
    </row>
    <row r="26" spans="1:216">
      <c r="J26" s="61"/>
      <c r="K26" s="61"/>
      <c r="DW26" s="58"/>
      <c r="DX26" s="58"/>
      <c r="DY26" s="58"/>
    </row>
    <row r="27" spans="1:216">
      <c r="DW27" s="58"/>
      <c r="DX27" s="58"/>
      <c r="DY27" s="58"/>
    </row>
    <row r="28" spans="1:216">
      <c r="DW28" s="58"/>
      <c r="DX28" s="58"/>
      <c r="DY28" s="58"/>
    </row>
    <row r="29" spans="1:216">
      <c r="DW29" s="58"/>
      <c r="DX29" s="58"/>
      <c r="DY29" s="58"/>
    </row>
  </sheetData>
  <sheetProtection password="CC53" sheet="1" objects="1" scenarios="1"/>
  <protectedRanges>
    <protectedRange password="CE28" sqref="E7:H17" name="Диапазон1"/>
    <protectedRange password="CE28" sqref="X7 AB7:AB18 Z7" name="Диапазон1_1"/>
    <protectedRange password="CE28" sqref="D7:D17" name="Диапазон1_2"/>
    <protectedRange password="CE28" sqref="V7:W7 V8:V17 Y7" name="Диапазон1_1_2"/>
  </protectedRanges>
  <mergeCells count="34">
    <mergeCell ref="GY5:HA5"/>
    <mergeCell ref="HB5:HF5"/>
    <mergeCell ref="HG5:HH5"/>
    <mergeCell ref="CD5:CI5"/>
    <mergeCell ref="CJ5:CP5"/>
    <mergeCell ref="DE5:DK5"/>
    <mergeCell ref="GL5:GS5"/>
    <mergeCell ref="GT5:GX5"/>
    <mergeCell ref="GB5:GH5"/>
    <mergeCell ref="CQ5:CW5"/>
    <mergeCell ref="CX5:DD5"/>
    <mergeCell ref="GI5:GK5"/>
    <mergeCell ref="ER5:EV5"/>
    <mergeCell ref="EJ5:EQ5"/>
    <mergeCell ref="EC5:EI5"/>
    <mergeCell ref="EW5:FC5"/>
    <mergeCell ref="BV5:CB5"/>
    <mergeCell ref="A5:A6"/>
    <mergeCell ref="C5:C6"/>
    <mergeCell ref="V5:AB5"/>
    <mergeCell ref="AY5:BE5"/>
    <mergeCell ref="BF5:BL5"/>
    <mergeCell ref="E2:BT3"/>
    <mergeCell ref="O5:U5"/>
    <mergeCell ref="D5:N5"/>
    <mergeCell ref="AC5:AI5"/>
    <mergeCell ref="AJ5:AQ5"/>
    <mergeCell ref="AR5:AX5"/>
    <mergeCell ref="BM5:BU5"/>
    <mergeCell ref="FD5:FJ5"/>
    <mergeCell ref="FQ5:FX5"/>
    <mergeCell ref="DL5:DP5"/>
    <mergeCell ref="DQ5:DU5"/>
    <mergeCell ref="DV5:EB5"/>
  </mergeCells>
  <pageMargins left="0.23622047244094491" right="0.23622047244094491" top="0.74803149606299213" bottom="0.74803149606299213" header="0.31496062992125984" footer="0.31496062992125984"/>
  <pageSetup paperSize="9" scale="47" fitToWidth="12" orientation="landscape" r:id="rId1"/>
  <headerFooter>
    <oddFooter>&amp;F</oddFooter>
  </headerFooter>
  <colBreaks count="9" manualBreakCount="9">
    <brk id="15" max="17" man="1"/>
    <brk id="29" max="17" man="1"/>
    <brk id="43" max="17" man="1"/>
    <brk id="65" max="17" man="1"/>
    <brk id="88" max="17" man="1"/>
    <brk id="108" max="17" man="1"/>
    <brk id="125" max="17" man="1"/>
    <brk id="153" max="17" man="1"/>
    <brk id="190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16"/>
    </sheetView>
  </sheetViews>
  <sheetFormatPr defaultRowHeight="15"/>
  <cols>
    <col min="4" max="4" width="9.140625" customWidth="1"/>
    <col min="7" max="7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2020-08-17T07:34:41Z</dcterms:modified>
  <cp:category/>
  <cp:contentStatus/>
</cp:coreProperties>
</file>